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20" windowHeight="11020"/>
  </bookViews>
  <sheets>
    <sheet name="Лист1" sheetId="1" r:id="rId1"/>
  </sheets>
  <definedNames>
    <definedName name="_xlnm._FilterDatabase" localSheetId="0" hidden="1">Лист1!$L$1:$L$349</definedName>
    <definedName name="_xlnm.Print_Area" localSheetId="0">Лист1!$A$1:$L$349</definedName>
  </definedNames>
  <calcPr calcId="144525" refMode="R1C1"/>
</workbook>
</file>

<file path=xl/calcChain.xml><?xml version="1.0" encoding="utf-8"?>
<calcChain xmlns="http://schemas.openxmlformats.org/spreadsheetml/2006/main">
  <c r="H225" i="1" l="1"/>
  <c r="J295" i="1" l="1"/>
  <c r="J290" i="1"/>
  <c r="J286" i="1"/>
  <c r="J240" i="1"/>
  <c r="J238" i="1"/>
  <c r="J230" i="1"/>
  <c r="J215" i="1"/>
  <c r="J191" i="1"/>
  <c r="J188" i="1"/>
  <c r="J186" i="1"/>
  <c r="J173" i="1"/>
  <c r="J163" i="1"/>
  <c r="J144" i="1"/>
  <c r="J132" i="1"/>
  <c r="J104" i="1"/>
  <c r="J103" i="1"/>
  <c r="J96" i="1"/>
  <c r="J36" i="1"/>
  <c r="J14" i="1"/>
  <c r="J7" i="1"/>
  <c r="D200" i="1"/>
  <c r="E200" i="1" s="1"/>
  <c r="I266" i="1"/>
  <c r="I238" i="1"/>
  <c r="I254" i="1"/>
  <c r="I235" i="1"/>
  <c r="I304" i="1"/>
  <c r="I293" i="1"/>
  <c r="E293" i="1"/>
  <c r="D293" i="1"/>
  <c r="I313" i="1"/>
  <c r="H336" i="1"/>
  <c r="H337" i="1"/>
  <c r="I298" i="1"/>
  <c r="I331" i="1"/>
  <c r="D331" i="1"/>
  <c r="E331" i="1" s="1"/>
  <c r="I332" i="1"/>
  <c r="H244" i="1"/>
  <c r="I271" i="1"/>
  <c r="I287" i="1"/>
  <c r="I288" i="1"/>
  <c r="I321" i="1"/>
  <c r="I328" i="1"/>
  <c r="I223" i="1"/>
  <c r="I229" i="1"/>
  <c r="I227" i="1"/>
  <c r="I220" i="1"/>
  <c r="I217" i="1"/>
  <c r="I230" i="1"/>
  <c r="D189" i="1"/>
  <c r="I177" i="1"/>
  <c r="I186" i="1"/>
  <c r="H186" i="1"/>
  <c r="I169" i="1"/>
  <c r="H169" i="1"/>
  <c r="H170" i="1"/>
  <c r="I204" i="1"/>
  <c r="I278" i="1"/>
  <c r="I279" i="1"/>
  <c r="I224" i="1"/>
  <c r="D142" i="1"/>
  <c r="E142" i="1" s="1"/>
  <c r="I125" i="1"/>
  <c r="I114" i="1"/>
  <c r="D135" i="1"/>
  <c r="E135" i="1" s="1"/>
  <c r="I82" i="1"/>
  <c r="I102" i="1"/>
  <c r="D101" i="1"/>
  <c r="E101" i="1" s="1"/>
  <c r="I81" i="1"/>
  <c r="I75" i="1"/>
  <c r="I74" i="1"/>
  <c r="I91" i="1"/>
  <c r="I21" i="1"/>
  <c r="I70" i="1"/>
  <c r="I68" i="1"/>
  <c r="I64" i="1"/>
  <c r="H64" i="1"/>
  <c r="I63" i="1"/>
  <c r="I61" i="1"/>
  <c r="I60" i="1"/>
  <c r="I49" i="1"/>
  <c r="I57" i="1"/>
  <c r="I29" i="1"/>
  <c r="E29" i="1"/>
  <c r="I36" i="1"/>
  <c r="I12" i="1"/>
  <c r="D12" i="1"/>
  <c r="B12" i="1"/>
  <c r="D137" i="1"/>
  <c r="E137" i="1" s="1"/>
  <c r="I211" i="1"/>
  <c r="D211" i="1"/>
  <c r="E211" i="1" s="1"/>
  <c r="E102" i="1"/>
  <c r="D102" i="1"/>
  <c r="I265" i="1"/>
  <c r="D118" i="1"/>
  <c r="E27" i="1"/>
  <c r="I79" i="1"/>
  <c r="E79" i="1"/>
  <c r="E80" i="1"/>
  <c r="E116" i="1"/>
  <c r="D116" i="1"/>
  <c r="D311" i="1"/>
  <c r="E311" i="1" s="1"/>
  <c r="D313" i="1"/>
  <c r="F243" i="1"/>
  <c r="I302" i="1"/>
  <c r="I154" i="1"/>
  <c r="I232" i="1"/>
  <c r="H232" i="1"/>
  <c r="H233" i="1"/>
  <c r="D134" i="1"/>
  <c r="E134" i="1" s="1"/>
  <c r="I133" i="1"/>
  <c r="I9" i="1"/>
  <c r="I8" i="1"/>
  <c r="I7" i="1" l="1"/>
  <c r="D8" i="1"/>
  <c r="D62" i="1"/>
  <c r="D301" i="1"/>
  <c r="E301" i="1"/>
  <c r="E194" i="1"/>
  <c r="D194" i="1"/>
  <c r="D177" i="1" l="1"/>
  <c r="D338" i="1" l="1"/>
  <c r="H338" i="1" s="1"/>
  <c r="D340" i="1"/>
  <c r="D339" i="1"/>
  <c r="H109" i="1"/>
  <c r="H108" i="1"/>
  <c r="D241" i="1"/>
  <c r="E63" i="1"/>
  <c r="D63" i="1"/>
  <c r="E249" i="1"/>
  <c r="D249" i="1"/>
  <c r="D115" i="1"/>
  <c r="E115" i="1"/>
  <c r="D184" i="1" l="1"/>
  <c r="E298" i="1"/>
  <c r="D278" i="1" l="1"/>
  <c r="D277" i="1"/>
  <c r="E49" i="1"/>
  <c r="H49" i="1" s="1"/>
  <c r="D49" i="1"/>
  <c r="G346" i="1"/>
  <c r="E346" i="1"/>
  <c r="D346" i="1"/>
  <c r="D69" i="1"/>
  <c r="E69" i="1"/>
  <c r="E68" i="1"/>
  <c r="H68" i="1" s="1"/>
  <c r="D68" i="1"/>
  <c r="L348" i="1" l="1"/>
  <c r="H283" i="1" l="1"/>
  <c r="L341" i="1" l="1"/>
  <c r="I151" i="1" l="1"/>
  <c r="I147" i="1" l="1"/>
  <c r="I292" i="1"/>
  <c r="H289" i="1"/>
  <c r="H290" i="1"/>
  <c r="H291" i="1"/>
  <c r="H292" i="1"/>
  <c r="K163" i="1" l="1"/>
  <c r="L163" i="1" l="1"/>
  <c r="D89" i="1" l="1"/>
  <c r="P89" i="1"/>
  <c r="F68" i="1" l="1"/>
  <c r="F69" i="1"/>
  <c r="F344" i="1"/>
  <c r="N344" i="1" s="1"/>
  <c r="F345" i="1"/>
  <c r="N345" i="1" s="1"/>
  <c r="F342" i="1"/>
  <c r="N342" i="1" s="1"/>
  <c r="F343" i="1"/>
  <c r="N343" i="1" s="1"/>
  <c r="E125" i="1"/>
  <c r="D125" i="1"/>
  <c r="E241" i="1"/>
  <c r="F241" i="1" s="1"/>
  <c r="N241" i="1" s="1"/>
  <c r="E220" i="1"/>
  <c r="D220" i="1"/>
  <c r="E270" i="1"/>
  <c r="D270" i="1"/>
  <c r="I295" i="1"/>
  <c r="H294" i="1"/>
  <c r="I222" i="1"/>
  <c r="I132" i="1"/>
  <c r="I40" i="1"/>
  <c r="I20" i="1"/>
  <c r="H20" i="1"/>
  <c r="H303" i="1"/>
  <c r="H302" i="1"/>
  <c r="L295" i="1"/>
  <c r="K295" i="1"/>
  <c r="L191" i="1"/>
  <c r="L144" i="1"/>
  <c r="K144" i="1"/>
  <c r="I28" i="1"/>
  <c r="L14" i="1"/>
  <c r="K14" i="1"/>
  <c r="D235" i="1"/>
  <c r="E235" i="1" s="1"/>
  <c r="F235" i="1" s="1"/>
  <c r="N235" i="1" s="1"/>
  <c r="H95" i="1"/>
  <c r="H94" i="1"/>
  <c r="E246" i="1"/>
  <c r="D246" i="1"/>
  <c r="D333" i="1"/>
  <c r="E333" i="1" s="1"/>
  <c r="F333" i="1" s="1"/>
  <c r="I53" i="1"/>
  <c r="E53" i="1"/>
  <c r="D53" i="1"/>
  <c r="H53" i="1" s="1"/>
  <c r="D72" i="1"/>
  <c r="E72" i="1" s="1"/>
  <c r="F72" i="1" s="1"/>
  <c r="E189" i="1"/>
  <c r="F189" i="1" s="1"/>
  <c r="D190" i="1"/>
  <c r="E190" i="1" s="1"/>
  <c r="F190" i="1" s="1"/>
  <c r="N190" i="1" s="1"/>
  <c r="E266" i="1"/>
  <c r="D266" i="1"/>
  <c r="H288" i="1"/>
  <c r="I124" i="1"/>
  <c r="H124" i="1"/>
  <c r="I43" i="1"/>
  <c r="I158" i="1"/>
  <c r="F272" i="1"/>
  <c r="E269" i="1"/>
  <c r="D269" i="1"/>
  <c r="H115" i="1"/>
  <c r="I119" i="1"/>
  <c r="E119" i="1"/>
  <c r="D119" i="1"/>
  <c r="I77" i="1"/>
  <c r="I97" i="1"/>
  <c r="F253" i="1"/>
  <c r="M253" i="1" s="1"/>
  <c r="F252" i="1"/>
  <c r="M252" i="1" s="1"/>
  <c r="I103" i="1"/>
  <c r="I93" i="1"/>
  <c r="I274" i="1"/>
  <c r="E274" i="1"/>
  <c r="D274" i="1"/>
  <c r="H274" i="1" s="1"/>
  <c r="I221" i="1"/>
  <c r="D197" i="1"/>
  <c r="E197" i="1"/>
  <c r="D286" i="1"/>
  <c r="H286" i="1" s="1"/>
  <c r="I52" i="1"/>
  <c r="E177" i="1"/>
  <c r="E201" i="1"/>
  <c r="D201" i="1"/>
  <c r="D64" i="1"/>
  <c r="F29" i="1"/>
  <c r="N29" i="1" s="1"/>
  <c r="F30" i="1"/>
  <c r="I146" i="1"/>
  <c r="D180" i="1"/>
  <c r="H346" i="1"/>
  <c r="E62" i="1"/>
  <c r="I178" i="1"/>
  <c r="I160" i="1"/>
  <c r="I90" i="1"/>
  <c r="D335" i="1"/>
  <c r="I215" i="1"/>
  <c r="D7" i="1"/>
  <c r="F7" i="1" s="1"/>
  <c r="F6" i="1"/>
  <c r="D91" i="1"/>
  <c r="I164" i="1"/>
  <c r="I121" i="1"/>
  <c r="I264" i="1"/>
  <c r="D264" i="1"/>
  <c r="F301" i="1"/>
  <c r="D162" i="1"/>
  <c r="E162" i="1"/>
  <c r="E26" i="1"/>
  <c r="F26" i="1" s="1"/>
  <c r="N26" i="1" s="1"/>
  <c r="E25" i="1"/>
  <c r="F25" i="1" s="1"/>
  <c r="N25" i="1" s="1"/>
  <c r="I23" i="1"/>
  <c r="E23" i="1"/>
  <c r="E107" i="1"/>
  <c r="E106" i="1"/>
  <c r="F182" i="1"/>
  <c r="F43" i="1"/>
  <c r="F315" i="1"/>
  <c r="H315" i="1"/>
  <c r="H48" i="1"/>
  <c r="F244" i="1"/>
  <c r="E174" i="1"/>
  <c r="D174" i="1"/>
  <c r="H174" i="1" s="1"/>
  <c r="H189" i="1"/>
  <c r="F136" i="1"/>
  <c r="H99" i="1"/>
  <c r="H146" i="1"/>
  <c r="F161" i="1"/>
  <c r="H30" i="1"/>
  <c r="H269" i="1"/>
  <c r="H282" i="1"/>
  <c r="H281" i="1"/>
  <c r="H280" i="1"/>
  <c r="H284" i="1"/>
  <c r="D139" i="1"/>
  <c r="H139" i="1" s="1"/>
  <c r="F141" i="1"/>
  <c r="N141" i="1" s="1"/>
  <c r="O141" i="1" s="1"/>
  <c r="H24" i="1"/>
  <c r="H162" i="1"/>
  <c r="H177" i="1"/>
  <c r="H147" i="1"/>
  <c r="H148" i="1"/>
  <c r="H31" i="1"/>
  <c r="N31" i="1" s="1"/>
  <c r="H32" i="1"/>
  <c r="N32" i="1" s="1"/>
  <c r="H70" i="1"/>
  <c r="H72" i="1"/>
  <c r="H73" i="1"/>
  <c r="H74" i="1"/>
  <c r="H75" i="1"/>
  <c r="H76" i="1"/>
  <c r="H77" i="1"/>
  <c r="H78" i="1"/>
  <c r="H79" i="1"/>
  <c r="H80" i="1"/>
  <c r="H81" i="1"/>
  <c r="H82" i="1"/>
  <c r="H86" i="1"/>
  <c r="H87" i="1"/>
  <c r="H88" i="1"/>
  <c r="H89" i="1"/>
  <c r="H90" i="1"/>
  <c r="H92" i="1"/>
  <c r="H93" i="1"/>
  <c r="H96" i="1"/>
  <c r="H97" i="1"/>
  <c r="H98" i="1"/>
  <c r="H100" i="1"/>
  <c r="H101" i="1"/>
  <c r="H102" i="1"/>
  <c r="H103" i="1"/>
  <c r="H104" i="1"/>
  <c r="H107" i="1"/>
  <c r="H113" i="1"/>
  <c r="H114" i="1"/>
  <c r="H116" i="1"/>
  <c r="H117" i="1"/>
  <c r="H118" i="1"/>
  <c r="H119" i="1"/>
  <c r="H120" i="1"/>
  <c r="H121" i="1"/>
  <c r="H122" i="1"/>
  <c r="H125" i="1"/>
  <c r="H127" i="1"/>
  <c r="H128" i="1"/>
  <c r="H129" i="1"/>
  <c r="H131" i="1"/>
  <c r="H132" i="1"/>
  <c r="H133" i="1"/>
  <c r="H65" i="1"/>
  <c r="H8" i="1"/>
  <c r="H9" i="1"/>
  <c r="H10" i="1"/>
  <c r="H12" i="1"/>
  <c r="H13" i="1"/>
  <c r="H14" i="1"/>
  <c r="H17" i="1"/>
  <c r="H19" i="1"/>
  <c r="H21" i="1"/>
  <c r="H23" i="1"/>
  <c r="H27" i="1"/>
  <c r="H28" i="1"/>
  <c r="H29" i="1"/>
  <c r="H34" i="1"/>
  <c r="H35" i="1"/>
  <c r="H36" i="1"/>
  <c r="H39" i="1"/>
  <c r="H40" i="1"/>
  <c r="H41" i="1"/>
  <c r="H43" i="1"/>
  <c r="H47" i="1"/>
  <c r="H52" i="1"/>
  <c r="H55" i="1"/>
  <c r="H56" i="1"/>
  <c r="H57" i="1"/>
  <c r="H58" i="1"/>
  <c r="H61" i="1"/>
  <c r="H62" i="1"/>
  <c r="H63" i="1"/>
  <c r="F12" i="1"/>
  <c r="N12" i="1" s="1"/>
  <c r="F194" i="1"/>
  <c r="F249" i="1"/>
  <c r="N249" i="1" s="1"/>
  <c r="H143" i="1"/>
  <c r="F96" i="1"/>
  <c r="O96" i="1" s="1"/>
  <c r="Q96" i="1"/>
  <c r="F158" i="1"/>
  <c r="N158" i="1" s="1"/>
  <c r="E133" i="1"/>
  <c r="F133" i="1" s="1"/>
  <c r="N133" i="1" s="1"/>
  <c r="F193" i="1"/>
  <c r="N193" i="1" s="1"/>
  <c r="E187" i="1"/>
  <c r="H60" i="1"/>
  <c r="F145" i="1"/>
  <c r="F40" i="1"/>
  <c r="N40" i="1" s="1"/>
  <c r="H130" i="1"/>
  <c r="E226" i="1"/>
  <c r="F226" i="1" s="1"/>
  <c r="N226" i="1" s="1"/>
  <c r="H184" i="1"/>
  <c r="F266" i="1"/>
  <c r="F341" i="1"/>
  <c r="N341" i="1" s="1"/>
  <c r="F217" i="1"/>
  <c r="F47" i="1"/>
  <c r="N47" i="1" s="1"/>
  <c r="H298" i="1"/>
  <c r="H301" i="1"/>
  <c r="D328" i="1"/>
  <c r="H328" i="1" s="1"/>
  <c r="H341" i="1"/>
  <c r="H135" i="1"/>
  <c r="H136" i="1"/>
  <c r="H137" i="1"/>
  <c r="H138" i="1"/>
  <c r="H142" i="1"/>
  <c r="H152" i="1"/>
  <c r="H153" i="1"/>
  <c r="H154" i="1"/>
  <c r="H156" i="1"/>
  <c r="H157" i="1"/>
  <c r="H160" i="1"/>
  <c r="H164" i="1"/>
  <c r="H165" i="1"/>
  <c r="H166" i="1"/>
  <c r="H167" i="1"/>
  <c r="H168" i="1"/>
  <c r="H173" i="1"/>
  <c r="H175" i="1"/>
  <c r="H176" i="1"/>
  <c r="H179" i="1"/>
  <c r="H182" i="1"/>
  <c r="H191" i="1"/>
  <c r="H194" i="1"/>
  <c r="H197" i="1"/>
  <c r="H200" i="1"/>
  <c r="H204" i="1"/>
  <c r="H206" i="1"/>
  <c r="H208" i="1"/>
  <c r="H209" i="1"/>
  <c r="H212" i="1"/>
  <c r="H213" i="1"/>
  <c r="H214" i="1"/>
  <c r="H215" i="1"/>
  <c r="H216" i="1"/>
  <c r="H217" i="1"/>
  <c r="H220" i="1"/>
  <c r="H221" i="1"/>
  <c r="H222" i="1"/>
  <c r="H223" i="1"/>
  <c r="H224" i="1"/>
  <c r="H226" i="1"/>
  <c r="H227" i="1"/>
  <c r="H228" i="1"/>
  <c r="H229" i="1"/>
  <c r="H230" i="1"/>
  <c r="H237" i="1"/>
  <c r="H238" i="1"/>
  <c r="H239" i="1"/>
  <c r="H240" i="1"/>
  <c r="H242" i="1"/>
  <c r="H247" i="1"/>
  <c r="H248" i="1"/>
  <c r="H249" i="1"/>
  <c r="H251" i="1"/>
  <c r="H254" i="1"/>
  <c r="H255" i="1"/>
  <c r="H257" i="1"/>
  <c r="H260" i="1"/>
  <c r="H263" i="1"/>
  <c r="H264" i="1"/>
  <c r="H266" i="1"/>
  <c r="H270" i="1"/>
  <c r="H271" i="1"/>
  <c r="H272" i="1"/>
  <c r="H277" i="1"/>
  <c r="H278" i="1"/>
  <c r="H279" i="1"/>
  <c r="N279" i="1" s="1"/>
  <c r="H285" i="1"/>
  <c r="H287" i="1"/>
  <c r="H293" i="1"/>
  <c r="H295" i="1"/>
  <c r="H309" i="1"/>
  <c r="H311" i="1"/>
  <c r="H313" i="1"/>
  <c r="H316" i="1"/>
  <c r="H317" i="1"/>
  <c r="H318" i="1"/>
  <c r="H319" i="1"/>
  <c r="H320" i="1"/>
  <c r="H321" i="1"/>
  <c r="H324" i="1"/>
  <c r="H327" i="1"/>
  <c r="H331" i="1"/>
  <c r="H333" i="1"/>
  <c r="H335" i="1"/>
  <c r="H342" i="1"/>
  <c r="H343" i="1"/>
  <c r="H347" i="1"/>
  <c r="H211" i="1"/>
  <c r="H155" i="1"/>
  <c r="F125" i="1"/>
  <c r="N125" i="1" s="1"/>
  <c r="F119" i="1"/>
  <c r="H201" i="1"/>
  <c r="H265" i="1"/>
  <c r="D304" i="1"/>
  <c r="H304" i="1" s="1"/>
  <c r="F13" i="1"/>
  <c r="N13" i="1" s="1"/>
  <c r="H192" i="1"/>
  <c r="F55" i="1"/>
  <c r="N55" i="1" s="1"/>
  <c r="D37" i="1"/>
  <c r="H37" i="1" s="1"/>
  <c r="F106" i="1"/>
  <c r="N106" i="1" s="1"/>
  <c r="F105" i="1"/>
  <c r="N105" i="1" s="1"/>
  <c r="H172" i="1"/>
  <c r="D332" i="1"/>
  <c r="H332" i="1" s="1"/>
  <c r="F88" i="1"/>
  <c r="H187" i="1"/>
  <c r="H158" i="1"/>
  <c r="D59" i="1"/>
  <c r="H59" i="1" s="1"/>
  <c r="F288" i="1"/>
  <c r="N288" i="1" s="1"/>
  <c r="H178" i="1"/>
  <c r="F67" i="1"/>
  <c r="N67" i="1" s="1"/>
  <c r="F66" i="1"/>
  <c r="N66" i="1" s="1"/>
  <c r="F242" i="1"/>
  <c r="N242" i="1" s="1"/>
  <c r="H91" i="1"/>
  <c r="H235" i="1"/>
  <c r="H180" i="1"/>
  <c r="F65" i="1"/>
  <c r="N65" i="1" s="1"/>
  <c r="O65" i="1" s="1"/>
  <c r="F202" i="1"/>
  <c r="N202" i="1" s="1"/>
  <c r="N6" i="1"/>
  <c r="F5" i="1"/>
  <c r="N5" i="1" s="1"/>
  <c r="H241" i="1"/>
  <c r="F347" i="1"/>
  <c r="N347" i="1" s="1"/>
  <c r="F346" i="1"/>
  <c r="F340" i="1"/>
  <c r="N340" i="1" s="1"/>
  <c r="F339" i="1"/>
  <c r="N339" i="1" s="1"/>
  <c r="F337" i="1"/>
  <c r="N337" i="1" s="1"/>
  <c r="F336" i="1"/>
  <c r="N336" i="1" s="1"/>
  <c r="F335" i="1"/>
  <c r="F334" i="1"/>
  <c r="N334" i="1" s="1"/>
  <c r="F331" i="1"/>
  <c r="N331" i="1" s="1"/>
  <c r="F330" i="1"/>
  <c r="N330" i="1" s="1"/>
  <c r="F329" i="1"/>
  <c r="N329" i="1" s="1"/>
  <c r="F327" i="1"/>
  <c r="F326" i="1"/>
  <c r="N326" i="1" s="1"/>
  <c r="F325" i="1"/>
  <c r="N325" i="1" s="1"/>
  <c r="F324" i="1"/>
  <c r="F323" i="1"/>
  <c r="O323" i="1" s="1"/>
  <c r="F322" i="1"/>
  <c r="O322" i="1" s="1"/>
  <c r="F321" i="1"/>
  <c r="F320" i="1"/>
  <c r="F319" i="1"/>
  <c r="F313" i="1"/>
  <c r="N313" i="1" s="1"/>
  <c r="F311" i="1"/>
  <c r="F310" i="1"/>
  <c r="N310" i="1" s="1"/>
  <c r="F308" i="1"/>
  <c r="O308" i="1" s="1"/>
  <c r="F307" i="1"/>
  <c r="O307" i="1" s="1"/>
  <c r="F306" i="1"/>
  <c r="F303" i="1"/>
  <c r="F302" i="1"/>
  <c r="F300" i="1"/>
  <c r="N300" i="1" s="1"/>
  <c r="F299" i="1"/>
  <c r="N299" i="1" s="1"/>
  <c r="F297" i="1"/>
  <c r="O297" i="1" s="1"/>
  <c r="F296" i="1"/>
  <c r="O296" i="1" s="1"/>
  <c r="F295" i="1"/>
  <c r="F294" i="1"/>
  <c r="N294" i="1" s="1"/>
  <c r="F293" i="1"/>
  <c r="N293" i="1" s="1"/>
  <c r="F292" i="1"/>
  <c r="N292" i="1" s="1"/>
  <c r="F287" i="1"/>
  <c r="F285" i="1"/>
  <c r="F284" i="1"/>
  <c r="F283" i="1"/>
  <c r="F282" i="1"/>
  <c r="N282" i="1" s="1"/>
  <c r="F281" i="1"/>
  <c r="N281" i="1" s="1"/>
  <c r="F280" i="1"/>
  <c r="N280" i="1" s="1"/>
  <c r="F279" i="1"/>
  <c r="F278" i="1"/>
  <c r="N278" i="1" s="1"/>
  <c r="F277" i="1"/>
  <c r="F276" i="1"/>
  <c r="F274" i="1"/>
  <c r="N274" i="1" s="1"/>
  <c r="F271" i="1"/>
  <c r="N271" i="1" s="1"/>
  <c r="F264" i="1"/>
  <c r="F263" i="1"/>
  <c r="F260" i="1"/>
  <c r="F259" i="1"/>
  <c r="N259" i="1" s="1"/>
  <c r="F258" i="1"/>
  <c r="N258" i="1" s="1"/>
  <c r="F257" i="1"/>
  <c r="F255" i="1"/>
  <c r="N255" i="1" s="1"/>
  <c r="F254" i="1"/>
  <c r="N254" i="1" s="1"/>
  <c r="F251" i="1"/>
  <c r="N251" i="1" s="1"/>
  <c r="F248" i="1"/>
  <c r="N248" i="1" s="1"/>
  <c r="F247" i="1"/>
  <c r="N247" i="1" s="1"/>
  <c r="F239" i="1"/>
  <c r="N239" i="1" s="1"/>
  <c r="F238" i="1"/>
  <c r="N238" i="1" s="1"/>
  <c r="N232" i="1"/>
  <c r="F230" i="1"/>
  <c r="N230" i="1" s="1"/>
  <c r="F229" i="1"/>
  <c r="N229" i="1" s="1"/>
  <c r="F228" i="1"/>
  <c r="N228" i="1" s="1"/>
  <c r="F227" i="1"/>
  <c r="N227" i="1" s="1"/>
  <c r="F225" i="1"/>
  <c r="N225" i="1" s="1"/>
  <c r="F224" i="1"/>
  <c r="N224" i="1" s="1"/>
  <c r="F223" i="1"/>
  <c r="N223" i="1" s="1"/>
  <c r="F222" i="1"/>
  <c r="N222" i="1" s="1"/>
  <c r="O221" i="1" s="1"/>
  <c r="F221" i="1"/>
  <c r="F220" i="1"/>
  <c r="F219" i="1"/>
  <c r="N219" i="1" s="1"/>
  <c r="F218" i="1"/>
  <c r="N218" i="1" s="1"/>
  <c r="F216" i="1"/>
  <c r="N216" i="1" s="1"/>
  <c r="F215" i="1"/>
  <c r="N215" i="1" s="1"/>
  <c r="F214" i="1"/>
  <c r="N214" i="1" s="1"/>
  <c r="F213" i="1"/>
  <c r="N213" i="1" s="1"/>
  <c r="F211" i="1"/>
  <c r="N211" i="1" s="1"/>
  <c r="N210" i="1"/>
  <c r="F209" i="1"/>
  <c r="N209" i="1" s="1"/>
  <c r="F207" i="1"/>
  <c r="N207" i="1" s="1"/>
  <c r="F204" i="1"/>
  <c r="F200" i="1"/>
  <c r="F199" i="1"/>
  <c r="N199" i="1" s="1"/>
  <c r="F198" i="1"/>
  <c r="N198" i="1" s="1"/>
  <c r="F197" i="1"/>
  <c r="F196" i="1"/>
  <c r="N196" i="1" s="1"/>
  <c r="F192" i="1"/>
  <c r="F191" i="1"/>
  <c r="N184" i="1"/>
  <c r="F183" i="1"/>
  <c r="N183" i="1" s="1"/>
  <c r="F176" i="1"/>
  <c r="F175" i="1"/>
  <c r="N175" i="1" s="1"/>
  <c r="F173" i="1"/>
  <c r="F172" i="1"/>
  <c r="F171" i="1"/>
  <c r="F169" i="1"/>
  <c r="N169" i="1" s="1"/>
  <c r="F168" i="1"/>
  <c r="N168" i="1" s="1"/>
  <c r="F167" i="1"/>
  <c r="F164" i="1"/>
  <c r="N164" i="1" s="1"/>
  <c r="F162" i="1"/>
  <c r="N162" i="1" s="1"/>
  <c r="F160" i="1"/>
  <c r="O160" i="1" s="1"/>
  <c r="F156" i="1"/>
  <c r="F155" i="1"/>
  <c r="N155" i="1" s="1"/>
  <c r="F154" i="1"/>
  <c r="F152" i="1"/>
  <c r="F148" i="1"/>
  <c r="F147" i="1"/>
  <c r="F146" i="1"/>
  <c r="F142" i="1"/>
  <c r="F140" i="1"/>
  <c r="F138" i="1"/>
  <c r="F137" i="1"/>
  <c r="F135" i="1"/>
  <c r="F134" i="1"/>
  <c r="N134" i="1" s="1"/>
  <c r="F131" i="1"/>
  <c r="F126" i="1"/>
  <c r="N126" i="1" s="1"/>
  <c r="F122" i="1"/>
  <c r="O122" i="1" s="1"/>
  <c r="F121" i="1"/>
  <c r="O121" i="1" s="1"/>
  <c r="F120" i="1"/>
  <c r="F118" i="1"/>
  <c r="F117" i="1"/>
  <c r="F116" i="1"/>
  <c r="N116" i="1" s="1"/>
  <c r="F115" i="1"/>
  <c r="F114" i="1"/>
  <c r="N114" i="1" s="1"/>
  <c r="F113" i="1"/>
  <c r="F109" i="1"/>
  <c r="N109" i="1" s="1"/>
  <c r="F108" i="1"/>
  <c r="N108" i="1" s="1"/>
  <c r="F107" i="1"/>
  <c r="N107" i="1" s="1"/>
  <c r="N104" i="1"/>
  <c r="F103" i="1"/>
  <c r="N103" i="1" s="1"/>
  <c r="F102" i="1"/>
  <c r="N102" i="1" s="1"/>
  <c r="F101" i="1"/>
  <c r="N101" i="1" s="1"/>
  <c r="F99" i="1"/>
  <c r="N99" i="1" s="1"/>
  <c r="F98" i="1"/>
  <c r="F97" i="1"/>
  <c r="F95" i="1"/>
  <c r="N95" i="1" s="1"/>
  <c r="F94" i="1"/>
  <c r="N94" i="1" s="1"/>
  <c r="F93" i="1"/>
  <c r="F90" i="1"/>
  <c r="F89" i="1"/>
  <c r="N89" i="1" s="1"/>
  <c r="F87" i="1"/>
  <c r="F86" i="1"/>
  <c r="F82" i="1"/>
  <c r="F81" i="1"/>
  <c r="F80" i="1"/>
  <c r="F79" i="1"/>
  <c r="F78" i="1"/>
  <c r="N78" i="1" s="1"/>
  <c r="F77" i="1"/>
  <c r="N77" i="1" s="1"/>
  <c r="F76" i="1"/>
  <c r="F75" i="1"/>
  <c r="N75" i="1" s="1"/>
  <c r="F74" i="1"/>
  <c r="N74" i="1" s="1"/>
  <c r="F70" i="1"/>
  <c r="N70" i="1" s="1"/>
  <c r="F64" i="1"/>
  <c r="F63" i="1"/>
  <c r="F62" i="1"/>
  <c r="N62" i="1" s="1"/>
  <c r="F61" i="1"/>
  <c r="N61" i="1" s="1"/>
  <c r="F60" i="1"/>
  <c r="F57" i="1"/>
  <c r="F56" i="1"/>
  <c r="F53" i="1"/>
  <c r="N53" i="1" s="1"/>
  <c r="F52" i="1"/>
  <c r="F51" i="1"/>
  <c r="N51" i="1" s="1"/>
  <c r="F50" i="1"/>
  <c r="N50" i="1" s="1"/>
  <c r="F49" i="1"/>
  <c r="F48" i="1"/>
  <c r="N48" i="1" s="1"/>
  <c r="N43" i="1"/>
  <c r="N42" i="1"/>
  <c r="F41" i="1"/>
  <c r="N41" i="1" s="1"/>
  <c r="F36" i="1"/>
  <c r="F34" i="1"/>
  <c r="F32" i="1"/>
  <c r="F31" i="1"/>
  <c r="N30" i="1"/>
  <c r="O32" i="1" s="1"/>
  <c r="F28" i="1"/>
  <c r="F24" i="1"/>
  <c r="N24" i="1" s="1"/>
  <c r="F23" i="1"/>
  <c r="N23" i="1" s="1"/>
  <c r="F21" i="1"/>
  <c r="N21" i="1" s="1"/>
  <c r="F20" i="1"/>
  <c r="F19" i="1"/>
  <c r="F17" i="1"/>
  <c r="F16" i="1"/>
  <c r="N16" i="1" s="1"/>
  <c r="F15" i="1"/>
  <c r="N15" i="1" s="1"/>
  <c r="F14" i="1"/>
  <c r="N14" i="1" s="1"/>
  <c r="F10" i="1"/>
  <c r="N10" i="1" s="1"/>
  <c r="F9" i="1"/>
  <c r="N9" i="1" s="1"/>
  <c r="F8" i="1"/>
  <c r="N8" i="1" s="1"/>
  <c r="F174" i="1"/>
  <c r="N174" i="1" s="1"/>
  <c r="F130" i="1"/>
  <c r="N130" i="1" s="1"/>
  <c r="F298" i="1"/>
  <c r="F181" i="1"/>
  <c r="N181" i="1" s="1"/>
  <c r="H193" i="1"/>
  <c r="F143" i="1"/>
  <c r="N143" i="1" s="1"/>
  <c r="F139" i="1"/>
  <c r="F304" i="1"/>
  <c r="F328" i="1"/>
  <c r="N145" i="1"/>
  <c r="H161" i="1"/>
  <c r="F201" i="1" l="1"/>
  <c r="O252" i="1"/>
  <c r="F270" i="1"/>
  <c r="N270" i="1" s="1"/>
  <c r="O216" i="1"/>
  <c r="F269" i="1"/>
  <c r="F286" i="1"/>
  <c r="H7" i="1"/>
  <c r="O5" i="1"/>
  <c r="K349" i="1"/>
  <c r="O248" i="1"/>
  <c r="O26" i="1"/>
  <c r="O219" i="1"/>
  <c r="O214" i="1"/>
  <c r="O199" i="1"/>
  <c r="O300" i="1"/>
  <c r="O67" i="1"/>
  <c r="O51" i="1"/>
  <c r="O239" i="1"/>
  <c r="O255" i="1"/>
  <c r="L349" i="1"/>
  <c r="I349" i="1"/>
  <c r="O10" i="1"/>
  <c r="O109" i="1"/>
  <c r="O225" i="1"/>
  <c r="O309" i="1"/>
  <c r="O337" i="1"/>
  <c r="O106" i="1"/>
  <c r="O259" i="1"/>
  <c r="O298" i="1"/>
  <c r="O324" i="1"/>
  <c r="O228" i="1"/>
  <c r="O330" i="1"/>
  <c r="O340" i="1"/>
  <c r="O123" i="1"/>
  <c r="O124" i="1" s="1"/>
  <c r="O16" i="1"/>
  <c r="O95" i="1"/>
  <c r="O326" i="1"/>
  <c r="O343" i="1"/>
  <c r="O345" i="1"/>
</calcChain>
</file>

<file path=xl/sharedStrings.xml><?xml version="1.0" encoding="utf-8"?>
<sst xmlns="http://schemas.openxmlformats.org/spreadsheetml/2006/main" count="232" uniqueCount="136">
  <si>
    <t xml:space="preserve">Показания  Электросчетчиков и  оплата электроэнергии  по состоянию на 15.06.2023 г.  </t>
  </si>
  <si>
    <t>КАЛЬКУЛЯТОР</t>
  </si>
  <si>
    <t>№ участ.</t>
  </si>
  <si>
    <t>показания счетчика контр.</t>
  </si>
  <si>
    <t>оплачено кВт</t>
  </si>
  <si>
    <t>сумма</t>
  </si>
  <si>
    <t>итог</t>
  </si>
  <si>
    <t>ТОВАРИЩЕСКАЯ И ЯНВАРСКАЯ</t>
  </si>
  <si>
    <t>Т1</t>
  </si>
  <si>
    <t>Т2</t>
  </si>
  <si>
    <t>6-7</t>
  </si>
  <si>
    <t xml:space="preserve">                     т1</t>
  </si>
  <si>
    <t xml:space="preserve">                     т2</t>
  </si>
  <si>
    <t>контр</t>
  </si>
  <si>
    <t>дом</t>
  </si>
  <si>
    <t>14--15</t>
  </si>
  <si>
    <t>т1</t>
  </si>
  <si>
    <t xml:space="preserve">            т2</t>
  </si>
  <si>
    <t>20--22</t>
  </si>
  <si>
    <t>282-1</t>
  </si>
  <si>
    <t>баня</t>
  </si>
  <si>
    <t>282-2</t>
  </si>
  <si>
    <t>т1       дом</t>
  </si>
  <si>
    <t xml:space="preserve">т2       дом   </t>
  </si>
  <si>
    <t>с</t>
  </si>
  <si>
    <t>26--27</t>
  </si>
  <si>
    <t>ФЕВРАЛЬСКАЯ</t>
  </si>
  <si>
    <t>на</t>
  </si>
  <si>
    <t>контр.</t>
  </si>
  <si>
    <t>т2</t>
  </si>
  <si>
    <t>дом.сч</t>
  </si>
  <si>
    <t xml:space="preserve">                   т2</t>
  </si>
  <si>
    <t>55д</t>
  </si>
  <si>
    <t>МАРТОВСКАЯ</t>
  </si>
  <si>
    <t>дом.сч.</t>
  </si>
  <si>
    <t>61--62</t>
  </si>
  <si>
    <t>64--65</t>
  </si>
  <si>
    <t>56229         т1</t>
  </si>
  <si>
    <t>27214          т2</t>
  </si>
  <si>
    <t>67--68</t>
  </si>
  <si>
    <t>73-74</t>
  </si>
  <si>
    <t>уст.2-х.т.сч. Т1</t>
  </si>
  <si>
    <t>с 17.08.22.   Т2</t>
  </si>
  <si>
    <t>н.сч.</t>
  </si>
  <si>
    <t>86/87</t>
  </si>
  <si>
    <t>контр01.03.18</t>
  </si>
  <si>
    <t xml:space="preserve">     дом.   т-1</t>
  </si>
  <si>
    <t xml:space="preserve">    счетч.  т-2</t>
  </si>
  <si>
    <t>АПРЕЛЬСКАЯ</t>
  </si>
  <si>
    <t>т1=0</t>
  </si>
  <si>
    <t>т2=0</t>
  </si>
  <si>
    <t>115б</t>
  </si>
  <si>
    <t>116д</t>
  </si>
  <si>
    <t>т1 с=767</t>
  </si>
  <si>
    <t>т2 с=212</t>
  </si>
  <si>
    <t>к.сч.2318</t>
  </si>
  <si>
    <t>т1=</t>
  </si>
  <si>
    <t>т2=</t>
  </si>
  <si>
    <t>127/145</t>
  </si>
  <si>
    <t>МАЙСКАЯ и ИЮНЬСКАЯ</t>
  </si>
  <si>
    <t>135--136</t>
  </si>
  <si>
    <t>142/143</t>
  </si>
  <si>
    <t>д.к.сч.</t>
  </si>
  <si>
    <t>к.сч.8094</t>
  </si>
  <si>
    <t>151/152</t>
  </si>
  <si>
    <t>153/154</t>
  </si>
  <si>
    <t>155/165</t>
  </si>
  <si>
    <t>н.сч</t>
  </si>
  <si>
    <t>дом.</t>
  </si>
  <si>
    <t>отключен</t>
  </si>
  <si>
    <t>контр.сч</t>
  </si>
  <si>
    <t>172/173</t>
  </si>
  <si>
    <t>ИЮЛЬСКАЯ</t>
  </si>
  <si>
    <t>общий</t>
  </si>
  <si>
    <t xml:space="preserve">т1=0              </t>
  </si>
  <si>
    <t>АВГУСТОВСКАЯ</t>
  </si>
  <si>
    <t>207/208</t>
  </si>
  <si>
    <t>212/213</t>
  </si>
  <si>
    <t>к195</t>
  </si>
  <si>
    <t>СЕНТЯБРЬСКАЯ и ОКТЯБРЬСКАЯ</t>
  </si>
  <si>
    <t>н.сч.с27.02.21.</t>
  </si>
  <si>
    <t xml:space="preserve">234.1 </t>
  </si>
  <si>
    <t xml:space="preserve">               т1</t>
  </si>
  <si>
    <t>234.2</t>
  </si>
  <si>
    <t>т 1</t>
  </si>
  <si>
    <t>т 2</t>
  </si>
  <si>
    <t>236/237</t>
  </si>
  <si>
    <t>239/240</t>
  </si>
  <si>
    <t>246/247</t>
  </si>
  <si>
    <t xml:space="preserve"> 06.04.21.нов</t>
  </si>
  <si>
    <t>н сч.           т1</t>
  </si>
  <si>
    <t xml:space="preserve"> с    ….........т2</t>
  </si>
  <si>
    <t>д.830</t>
  </si>
  <si>
    <t>НОЯБРЬСКАЯ и ДЕКАБРЬСКАЯ</t>
  </si>
  <si>
    <t>к.сч.</t>
  </si>
  <si>
    <t>дом Т1</t>
  </si>
  <si>
    <t>дом Т2</t>
  </si>
  <si>
    <t>д.1400</t>
  </si>
  <si>
    <t>к.сч.4984</t>
  </si>
  <si>
    <t>272/273</t>
  </si>
  <si>
    <t>конр.</t>
  </si>
  <si>
    <t>Т 1</t>
  </si>
  <si>
    <t>Т 2</t>
  </si>
  <si>
    <t>столб</t>
  </si>
  <si>
    <t xml:space="preserve">  </t>
  </si>
  <si>
    <t xml:space="preserve">ПОКАЗАНИЯ СЧЕТЧИКА (по последней оплате) </t>
  </si>
  <si>
    <t xml:space="preserve"> т2</t>
  </si>
  <si>
    <t xml:space="preserve"> Т1</t>
  </si>
  <si>
    <t xml:space="preserve"> Т2</t>
  </si>
  <si>
    <t xml:space="preserve"> т1</t>
  </si>
  <si>
    <t>Сверка</t>
  </si>
  <si>
    <t xml:space="preserve">ТАРИФЫ за ЭЛЕКТРОЭНЕРГИЮ </t>
  </si>
  <si>
    <t>6 е</t>
  </si>
  <si>
    <t>Долг членские взносы</t>
  </si>
  <si>
    <t>Долг целевые</t>
  </si>
  <si>
    <t>д.6760</t>
  </si>
  <si>
    <t>не подключен</t>
  </si>
  <si>
    <t>138 и 139</t>
  </si>
  <si>
    <t>Расчет</t>
  </si>
  <si>
    <t>не  подключен</t>
  </si>
  <si>
    <t>35-36</t>
  </si>
  <si>
    <t>148-149</t>
  </si>
  <si>
    <t>214/215</t>
  </si>
  <si>
    <t>10--11</t>
  </si>
  <si>
    <t>Долг э/э в рублях</t>
  </si>
  <si>
    <t>планирует подключение</t>
  </si>
  <si>
    <t>заменен счетчик</t>
  </si>
  <si>
    <t xml:space="preserve"> </t>
  </si>
  <si>
    <t>результат сверки на 13.06.2025</t>
  </si>
  <si>
    <t>последняя оплата (по 19.06.2025)</t>
  </si>
  <si>
    <t>чёчёчё</t>
  </si>
  <si>
    <t>д.счет.</t>
  </si>
  <si>
    <t xml:space="preserve">замена счетчика </t>
  </si>
  <si>
    <t>замена счетчика</t>
  </si>
  <si>
    <t>26.05.205</t>
  </si>
  <si>
    <t>Пени по членским взносам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</si>
</sst>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&quot;р.&quot;;[Red]\-#,##0&quot;р.&quot;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5" tint="-0.49998474074526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rgb="FFC00000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5" tint="-0.49998474074526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sz val="12"/>
      <color theme="8" tint="-0.499984740745262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i/>
      <sz val="12"/>
      <color rgb="FFC00000"/>
      <name val="Calibri"/>
      <family val="2"/>
      <charset val="204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i/>
      <sz val="12"/>
      <name val="Calibri"/>
      <family val="2"/>
      <charset val="204"/>
      <scheme val="minor"/>
    </font>
    <font>
      <b/>
      <i/>
      <sz val="12"/>
      <color theme="5" tint="-0.499984740745262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61">
    <xf numFmtId="0" fontId="0" fillId="0" borderId="0" xfId="0"/>
    <xf numFmtId="0" fontId="6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3" borderId="4" xfId="0" applyFill="1" applyBorder="1"/>
    <xf numFmtId="14" fontId="11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12" fillId="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0" fontId="14" fillId="2" borderId="4" xfId="0" applyFont="1" applyFill="1" applyBorder="1"/>
    <xf numFmtId="0" fontId="11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0" fillId="2" borderId="4" xfId="0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14" fontId="0" fillId="4" borderId="4" xfId="0" applyNumberFormat="1" applyFill="1" applyBorder="1" applyAlignment="1">
      <alignment horizontal="center"/>
    </xf>
    <xf numFmtId="0" fontId="14" fillId="4" borderId="0" xfId="0" applyFont="1" applyFill="1"/>
    <xf numFmtId="0" fontId="11" fillId="4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20" fillId="3" borderId="4" xfId="0" applyFont="1" applyFill="1" applyBorder="1"/>
    <xf numFmtId="0" fontId="8" fillId="2" borderId="6" xfId="0" applyFont="1" applyFill="1" applyBorder="1"/>
    <xf numFmtId="0" fontId="14" fillId="4" borderId="4" xfId="0" applyFont="1" applyFill="1" applyBorder="1"/>
    <xf numFmtId="0" fontId="22" fillId="2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 vertical="center"/>
    </xf>
    <xf numFmtId="14" fontId="11" fillId="4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8" fillId="4" borderId="4" xfId="0" applyFont="1" applyFill="1" applyBorder="1"/>
    <xf numFmtId="0" fontId="23" fillId="2" borderId="4" xfId="0" applyFont="1" applyFill="1" applyBorder="1" applyAlignment="1">
      <alignment horizontal="center" vertical="center"/>
    </xf>
    <xf numFmtId="0" fontId="27" fillId="2" borderId="4" xfId="0" applyFont="1" applyFill="1" applyBorder="1"/>
    <xf numFmtId="0" fontId="28" fillId="2" borderId="4" xfId="0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/>
    </xf>
    <xf numFmtId="0" fontId="23" fillId="4" borderId="4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/>
    </xf>
    <xf numFmtId="14" fontId="13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30" fillId="4" borderId="4" xfId="0" applyFont="1" applyFill="1" applyBorder="1" applyAlignment="1">
      <alignment horizontal="center"/>
    </xf>
    <xf numFmtId="0" fontId="31" fillId="4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18" fillId="4" borderId="4" xfId="0" applyFont="1" applyFill="1" applyBorder="1" applyAlignment="1">
      <alignment horizontal="center"/>
    </xf>
    <xf numFmtId="0" fontId="28" fillId="4" borderId="6" xfId="0" applyFont="1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/>
    </xf>
    <xf numFmtId="0" fontId="28" fillId="2" borderId="6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33" fillId="4" borderId="4" xfId="0" applyFont="1" applyFill="1" applyBorder="1" applyAlignment="1">
      <alignment horizontal="center"/>
    </xf>
    <xf numFmtId="14" fontId="20" fillId="4" borderId="4" xfId="0" applyNumberFormat="1" applyFont="1" applyFill="1" applyBorder="1" applyAlignment="1">
      <alignment horizontal="center"/>
    </xf>
    <xf numFmtId="0" fontId="34" fillId="3" borderId="4" xfId="0" applyFont="1" applyFill="1" applyBorder="1"/>
    <xf numFmtId="0" fontId="10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5" fillId="2" borderId="4" xfId="0" applyFont="1" applyFill="1" applyBorder="1"/>
    <xf numFmtId="0" fontId="22" fillId="2" borderId="4" xfId="0" applyFont="1" applyFill="1" applyBorder="1"/>
    <xf numFmtId="0" fontId="4" fillId="4" borderId="4" xfId="0" applyFont="1" applyFill="1" applyBorder="1" applyAlignment="1">
      <alignment horizontal="center"/>
    </xf>
    <xf numFmtId="0" fontId="22" fillId="4" borderId="4" xfId="0" applyFont="1" applyFill="1" applyBorder="1"/>
    <xf numFmtId="0" fontId="13" fillId="2" borderId="0" xfId="0" applyFont="1" applyFill="1" applyAlignment="1">
      <alignment horizontal="center"/>
    </xf>
    <xf numFmtId="0" fontId="35" fillId="4" borderId="4" xfId="0" applyFont="1" applyFill="1" applyBorder="1"/>
    <xf numFmtId="0" fontId="10" fillId="2" borderId="4" xfId="0" applyFont="1" applyFill="1" applyBorder="1" applyAlignment="1">
      <alignment horizontal="right"/>
    </xf>
    <xf numFmtId="0" fontId="22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top" wrapText="1"/>
    </xf>
    <xf numFmtId="14" fontId="13" fillId="2" borderId="4" xfId="0" applyNumberFormat="1" applyFont="1" applyFill="1" applyBorder="1" applyAlignment="1">
      <alignment horizontal="center"/>
    </xf>
    <xf numFmtId="0" fontId="39" fillId="2" borderId="4" xfId="0" applyFont="1" applyFill="1" applyBorder="1" applyAlignment="1">
      <alignment horizontal="center"/>
    </xf>
    <xf numFmtId="0" fontId="39" fillId="2" borderId="4" xfId="0" applyFont="1" applyFill="1" applyBorder="1" applyAlignment="1">
      <alignment horizontal="center" vertical="center"/>
    </xf>
    <xf numFmtId="0" fontId="39" fillId="4" borderId="4" xfId="0" applyFont="1" applyFill="1" applyBorder="1" applyAlignment="1">
      <alignment horizontal="center"/>
    </xf>
    <xf numFmtId="0" fontId="18" fillId="2" borderId="4" xfId="0" applyFont="1" applyFill="1" applyBorder="1"/>
    <xf numFmtId="0" fontId="41" fillId="2" borderId="4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35" fillId="2" borderId="6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0" fillId="4" borderId="4" xfId="0" applyFill="1" applyBorder="1"/>
    <xf numFmtId="0" fontId="13" fillId="2" borderId="4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3" borderId="3" xfId="0" applyFill="1" applyBorder="1"/>
    <xf numFmtId="0" fontId="4" fillId="2" borderId="0" xfId="0" applyFont="1" applyFill="1" applyAlignment="1">
      <alignment horizontal="center" vertical="center"/>
    </xf>
    <xf numFmtId="0" fontId="1" fillId="2" borderId="0" xfId="0" applyFont="1" applyFill="1"/>
    <xf numFmtId="0" fontId="4" fillId="2" borderId="3" xfId="0" applyFont="1" applyFill="1" applyBorder="1" applyAlignment="1">
      <alignment horizontal="center" vertical="center"/>
    </xf>
    <xf numFmtId="6" fontId="4" fillId="2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/>
    <xf numFmtId="0" fontId="13" fillId="9" borderId="4" xfId="0" applyFont="1" applyFill="1" applyBorder="1" applyAlignment="1">
      <alignment horizontal="center"/>
    </xf>
    <xf numFmtId="14" fontId="0" fillId="9" borderId="4" xfId="0" applyNumberFormat="1" applyFill="1" applyBorder="1" applyAlignment="1">
      <alignment horizontal="center"/>
    </xf>
    <xf numFmtId="0" fontId="14" fillId="9" borderId="4" xfId="0" applyFont="1" applyFill="1" applyBorder="1"/>
    <xf numFmtId="0" fontId="18" fillId="9" borderId="4" xfId="0" applyFont="1" applyFill="1" applyBorder="1" applyAlignment="1">
      <alignment horizontal="center"/>
    </xf>
    <xf numFmtId="0" fontId="17" fillId="9" borderId="4" xfId="0" applyFont="1" applyFill="1" applyBorder="1" applyAlignment="1">
      <alignment horizontal="center" vertical="center"/>
    </xf>
    <xf numFmtId="0" fontId="2" fillId="9" borderId="4" xfId="0" applyFont="1" applyFill="1" applyBorder="1"/>
    <xf numFmtId="0" fontId="6" fillId="9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0" fillId="9" borderId="4" xfId="0" applyFill="1" applyBorder="1"/>
    <xf numFmtId="0" fontId="0" fillId="9" borderId="0" xfId="0" applyFill="1"/>
    <xf numFmtId="0" fontId="28" fillId="10" borderId="9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/>
    </xf>
    <xf numFmtId="14" fontId="0" fillId="10" borderId="4" xfId="0" applyNumberFormat="1" applyFill="1" applyBorder="1" applyAlignment="1">
      <alignment horizontal="center"/>
    </xf>
    <xf numFmtId="0" fontId="14" fillId="10" borderId="4" xfId="0" applyFont="1" applyFill="1" applyBorder="1"/>
    <xf numFmtId="0" fontId="18" fillId="10" borderId="4" xfId="0" applyFont="1" applyFill="1" applyBorder="1" applyAlignment="1">
      <alignment horizontal="center"/>
    </xf>
    <xf numFmtId="0" fontId="17" fillId="10" borderId="4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0" fillId="10" borderId="4" xfId="0" applyFill="1" applyBorder="1"/>
    <xf numFmtId="0" fontId="0" fillId="10" borderId="0" xfId="0" applyFill="1"/>
    <xf numFmtId="0" fontId="41" fillId="10" borderId="4" xfId="0" applyFont="1" applyFill="1" applyBorder="1" applyAlignment="1">
      <alignment horizontal="center"/>
    </xf>
    <xf numFmtId="0" fontId="35" fillId="10" borderId="4" xfId="0" applyFont="1" applyFill="1" applyBorder="1"/>
    <xf numFmtId="0" fontId="11" fillId="10" borderId="4" xfId="0" applyFont="1" applyFill="1" applyBorder="1" applyAlignment="1">
      <alignment horizontal="center" vertical="center"/>
    </xf>
    <xf numFmtId="0" fontId="22" fillId="10" borderId="4" xfId="0" applyFont="1" applyFill="1" applyBorder="1"/>
    <xf numFmtId="0" fontId="12" fillId="10" borderId="4" xfId="0" applyFont="1" applyFill="1" applyBorder="1" applyAlignment="1">
      <alignment horizontal="center"/>
    </xf>
    <xf numFmtId="14" fontId="20" fillId="10" borderId="4" xfId="0" applyNumberFormat="1" applyFont="1" applyFill="1" applyBorder="1" applyAlignment="1">
      <alignment horizontal="center"/>
    </xf>
    <xf numFmtId="14" fontId="13" fillId="10" borderId="4" xfId="0" applyNumberFormat="1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6" fillId="3" borderId="3" xfId="0" applyFont="1" applyFill="1" applyBorder="1"/>
    <xf numFmtId="0" fontId="21" fillId="3" borderId="3" xfId="0" applyFont="1" applyFill="1" applyBorder="1"/>
    <xf numFmtId="0" fontId="6" fillId="3" borderId="3" xfId="0" applyFont="1" applyFill="1" applyBorder="1"/>
    <xf numFmtId="0" fontId="0" fillId="10" borderId="3" xfId="0" applyFill="1" applyBorder="1"/>
    <xf numFmtId="0" fontId="34" fillId="3" borderId="3" xfId="0" applyFont="1" applyFill="1" applyBorder="1"/>
    <xf numFmtId="0" fontId="0" fillId="4" borderId="3" xfId="0" applyFill="1" applyBorder="1"/>
    <xf numFmtId="0" fontId="20" fillId="3" borderId="3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1" fillId="2" borderId="16" xfId="0" applyFont="1" applyFill="1" applyBorder="1"/>
    <xf numFmtId="0" fontId="4" fillId="2" borderId="16" xfId="0" applyFont="1" applyFill="1" applyBorder="1"/>
    <xf numFmtId="0" fontId="4" fillId="10" borderId="15" xfId="0" applyFont="1" applyFill="1" applyBorder="1" applyAlignment="1">
      <alignment horizontal="center" vertical="center"/>
    </xf>
    <xf numFmtId="0" fontId="1" fillId="10" borderId="16" xfId="0" applyFont="1" applyFill="1" applyBorder="1"/>
    <xf numFmtId="6" fontId="4" fillId="2" borderId="15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" fillId="3" borderId="17" xfId="0" applyFont="1" applyFill="1" applyBorder="1"/>
    <xf numFmtId="0" fontId="1" fillId="0" borderId="0" xfId="0" applyFont="1" applyBorder="1"/>
    <xf numFmtId="0" fontId="1" fillId="2" borderId="18" xfId="0" applyFont="1" applyFill="1" applyBorder="1"/>
    <xf numFmtId="0" fontId="13" fillId="0" borderId="4" xfId="0" applyFont="1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0" fontId="1" fillId="0" borderId="16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0" xfId="0" applyFill="1"/>
    <xf numFmtId="0" fontId="28" fillId="9" borderId="4" xfId="0" applyFont="1" applyFill="1" applyBorder="1" applyAlignment="1">
      <alignment horizontal="center" vertical="center"/>
    </xf>
    <xf numFmtId="0" fontId="8" fillId="9" borderId="4" xfId="0" applyFont="1" applyFill="1" applyBorder="1"/>
    <xf numFmtId="0" fontId="11" fillId="9" borderId="4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1" fillId="9" borderId="16" xfId="0" applyFont="1" applyFill="1" applyBorder="1"/>
    <xf numFmtId="0" fontId="0" fillId="9" borderId="3" xfId="0" applyFill="1" applyBorder="1"/>
    <xf numFmtId="0" fontId="0" fillId="9" borderId="4" xfId="0" applyFill="1" applyBorder="1" applyAlignment="1">
      <alignment horizontal="center"/>
    </xf>
    <xf numFmtId="0" fontId="28" fillId="9" borderId="4" xfId="0" applyFont="1" applyFill="1" applyBorder="1" applyAlignment="1">
      <alignment horizontal="center"/>
    </xf>
    <xf numFmtId="0" fontId="12" fillId="9" borderId="4" xfId="0" applyFont="1" applyFill="1" applyBorder="1" applyAlignment="1">
      <alignment horizontal="center"/>
    </xf>
    <xf numFmtId="14" fontId="2" fillId="9" borderId="4" xfId="0" applyNumberFormat="1" applyFont="1" applyFill="1" applyBorder="1" applyAlignment="1">
      <alignment horizontal="center"/>
    </xf>
    <xf numFmtId="0" fontId="22" fillId="9" borderId="4" xfId="0" applyFont="1" applyFill="1" applyBorder="1"/>
    <xf numFmtId="0" fontId="22" fillId="0" borderId="4" xfId="0" applyFont="1" applyFill="1" applyBorder="1"/>
    <xf numFmtId="0" fontId="38" fillId="9" borderId="4" xfId="0" applyFont="1" applyFill="1" applyBorder="1"/>
    <xf numFmtId="0" fontId="11" fillId="9" borderId="4" xfId="0" applyFont="1" applyFill="1" applyBorder="1" applyAlignment="1">
      <alignment horizontal="center"/>
    </xf>
    <xf numFmtId="0" fontId="0" fillId="9" borderId="6" xfId="0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/>
    </xf>
    <xf numFmtId="14" fontId="0" fillId="9" borderId="6" xfId="0" applyNumberFormat="1" applyFill="1" applyBorder="1" applyAlignment="1">
      <alignment horizontal="center" vertical="center"/>
    </xf>
    <xf numFmtId="0" fontId="2" fillId="9" borderId="7" xfId="0" applyFont="1" applyFill="1" applyBorder="1"/>
    <xf numFmtId="0" fontId="2" fillId="9" borderId="6" xfId="0" applyFont="1" applyFill="1" applyBorder="1"/>
    <xf numFmtId="0" fontId="0" fillId="9" borderId="4" xfId="0" applyFill="1" applyBorder="1" applyAlignment="1">
      <alignment horizontal="center" vertical="center"/>
    </xf>
    <xf numFmtId="14" fontId="0" fillId="9" borderId="4" xfId="0" applyNumberForma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/>
    </xf>
    <xf numFmtId="14" fontId="0" fillId="9" borderId="6" xfId="0" applyNumberFormat="1" applyFill="1" applyBorder="1" applyAlignment="1">
      <alignment horizontal="center"/>
    </xf>
    <xf numFmtId="0" fontId="8" fillId="9" borderId="7" xfId="0" applyFont="1" applyFill="1" applyBorder="1"/>
    <xf numFmtId="0" fontId="11" fillId="9" borderId="6" xfId="0" applyFont="1" applyFill="1" applyBorder="1" applyAlignment="1">
      <alignment horizontal="center"/>
    </xf>
    <xf numFmtId="0" fontId="11" fillId="9" borderId="6" xfId="0" applyFont="1" applyFill="1" applyBorder="1" applyAlignment="1">
      <alignment horizontal="center" vertical="center"/>
    </xf>
    <xf numFmtId="49" fontId="15" fillId="9" borderId="4" xfId="0" applyNumberFormat="1" applyFont="1" applyFill="1" applyBorder="1" applyAlignment="1">
      <alignment horizontal="center"/>
    </xf>
    <xf numFmtId="0" fontId="12" fillId="9" borderId="5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14" fontId="0" fillId="9" borderId="2" xfId="0" applyNumberFormat="1" applyFill="1" applyBorder="1" applyAlignment="1">
      <alignment horizontal="center"/>
    </xf>
    <xf numFmtId="0" fontId="22" fillId="9" borderId="3" xfId="0" applyFont="1" applyFill="1" applyBorder="1"/>
    <xf numFmtId="0" fontId="39" fillId="9" borderId="4" xfId="0" applyFont="1" applyFill="1" applyBorder="1" applyAlignment="1">
      <alignment horizontal="center"/>
    </xf>
    <xf numFmtId="0" fontId="1" fillId="9" borderId="17" xfId="0" applyFont="1" applyFill="1" applyBorder="1"/>
    <xf numFmtId="0" fontId="4" fillId="9" borderId="4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center"/>
    </xf>
    <xf numFmtId="0" fontId="17" fillId="9" borderId="4" xfId="0" applyFont="1" applyFill="1" applyBorder="1" applyAlignment="1">
      <alignment horizontal="center"/>
    </xf>
    <xf numFmtId="0" fontId="23" fillId="9" borderId="4" xfId="0" applyFont="1" applyFill="1" applyBorder="1" applyAlignment="1">
      <alignment horizontal="center" vertical="center"/>
    </xf>
    <xf numFmtId="0" fontId="41" fillId="9" borderId="4" xfId="0" applyFont="1" applyFill="1" applyBorder="1" applyAlignment="1">
      <alignment horizontal="center"/>
    </xf>
    <xf numFmtId="0" fontId="1" fillId="5" borderId="14" xfId="0" applyFont="1" applyFill="1" applyBorder="1"/>
    <xf numFmtId="0" fontId="35" fillId="9" borderId="4" xfId="0" applyFont="1" applyFill="1" applyBorder="1"/>
    <xf numFmtId="0" fontId="14" fillId="9" borderId="0" xfId="0" applyFont="1" applyFill="1"/>
    <xf numFmtId="0" fontId="16" fillId="9" borderId="3" xfId="0" applyFont="1" applyFill="1" applyBorder="1"/>
    <xf numFmtId="0" fontId="12" fillId="9" borderId="8" xfId="0" applyFont="1" applyFill="1" applyBorder="1" applyAlignment="1">
      <alignment horizontal="center"/>
    </xf>
    <xf numFmtId="0" fontId="13" fillId="9" borderId="9" xfId="0" applyFont="1" applyFill="1" applyBorder="1" applyAlignment="1">
      <alignment horizontal="center"/>
    </xf>
    <xf numFmtId="0" fontId="19" fillId="9" borderId="3" xfId="0" applyFont="1" applyFill="1" applyBorder="1"/>
    <xf numFmtId="0" fontId="19" fillId="9" borderId="4" xfId="0" applyFont="1" applyFill="1" applyBorder="1"/>
    <xf numFmtId="0" fontId="8" fillId="9" borderId="6" xfId="0" applyFont="1" applyFill="1" applyBorder="1"/>
    <xf numFmtId="0" fontId="21" fillId="9" borderId="4" xfId="0" applyFont="1" applyFill="1" applyBorder="1"/>
    <xf numFmtId="0" fontId="10" fillId="9" borderId="5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14" fontId="11" fillId="9" borderId="4" xfId="0" applyNumberFormat="1" applyFont="1" applyFill="1" applyBorder="1" applyAlignment="1">
      <alignment horizontal="center" vertical="center"/>
    </xf>
    <xf numFmtId="0" fontId="28" fillId="9" borderId="5" xfId="0" applyFont="1" applyFill="1" applyBorder="1" applyAlignment="1">
      <alignment horizontal="center" vertical="center"/>
    </xf>
    <xf numFmtId="14" fontId="0" fillId="9" borderId="3" xfId="0" applyNumberFormat="1" applyFill="1" applyBorder="1" applyAlignment="1">
      <alignment horizontal="center"/>
    </xf>
    <xf numFmtId="14" fontId="1" fillId="9" borderId="4" xfId="0" applyNumberFormat="1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 wrapText="1"/>
    </xf>
    <xf numFmtId="0" fontId="15" fillId="9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 vertical="top" wrapText="1"/>
    </xf>
    <xf numFmtId="14" fontId="13" fillId="9" borderId="4" xfId="0" applyNumberFormat="1" applyFont="1" applyFill="1" applyBorder="1" applyAlignment="1">
      <alignment horizontal="center"/>
    </xf>
    <xf numFmtId="1" fontId="22" fillId="9" borderId="4" xfId="0" applyNumberFormat="1" applyFont="1" applyFill="1" applyBorder="1"/>
    <xf numFmtId="1" fontId="18" fillId="9" borderId="4" xfId="0" applyNumberFormat="1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 vertical="center" wrapText="1"/>
    </xf>
    <xf numFmtId="0" fontId="37" fillId="9" borderId="4" xfId="0" applyFont="1" applyFill="1" applyBorder="1"/>
    <xf numFmtId="0" fontId="18" fillId="9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0" fontId="35" fillId="0" borderId="4" xfId="0" applyFont="1" applyFill="1" applyBorder="1"/>
    <xf numFmtId="0" fontId="25" fillId="9" borderId="4" xfId="0" applyFont="1" applyFill="1" applyBorder="1" applyAlignment="1">
      <alignment horizontal="center"/>
    </xf>
    <xf numFmtId="0" fontId="17" fillId="2" borderId="4" xfId="0" applyFont="1" applyFill="1" applyBorder="1"/>
    <xf numFmtId="0" fontId="3" fillId="9" borderId="16" xfId="0" applyFont="1" applyFill="1" applyBorder="1"/>
    <xf numFmtId="0" fontId="26" fillId="9" borderId="4" xfId="0" applyFont="1" applyFill="1" applyBorder="1" applyAlignment="1">
      <alignment horizontal="center"/>
    </xf>
    <xf numFmtId="0" fontId="21" fillId="9" borderId="3" xfId="0" applyFont="1" applyFill="1" applyBorder="1"/>
    <xf numFmtId="14" fontId="0" fillId="9" borderId="9" xfId="0" applyNumberFormat="1" applyFill="1" applyBorder="1" applyAlignment="1">
      <alignment horizontal="center"/>
    </xf>
    <xf numFmtId="0" fontId="8" fillId="9" borderId="9" xfId="0" applyFont="1" applyFill="1" applyBorder="1"/>
    <xf numFmtId="0" fontId="18" fillId="9" borderId="4" xfId="0" applyFont="1" applyFill="1" applyBorder="1"/>
    <xf numFmtId="0" fontId="34" fillId="0" borderId="3" xfId="0" applyFont="1" applyFill="1" applyBorder="1" applyAlignment="1">
      <alignment horizontal="center" vertical="center"/>
    </xf>
    <xf numFmtId="14" fontId="20" fillId="9" borderId="4" xfId="0" applyNumberFormat="1" applyFont="1" applyFill="1" applyBorder="1" applyAlignment="1">
      <alignment horizontal="center"/>
    </xf>
    <xf numFmtId="0" fontId="29" fillId="9" borderId="4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 vertical="center"/>
    </xf>
    <xf numFmtId="0" fontId="40" fillId="9" borderId="4" xfId="0" applyFont="1" applyFill="1" applyBorder="1" applyAlignment="1">
      <alignment horizontal="center"/>
    </xf>
    <xf numFmtId="0" fontId="20" fillId="9" borderId="3" xfId="0" applyFont="1" applyFill="1" applyBorder="1"/>
    <xf numFmtId="0" fontId="20" fillId="9" borderId="4" xfId="0" applyFont="1" applyFill="1" applyBorder="1"/>
    <xf numFmtId="16" fontId="12" fillId="4" borderId="4" xfId="0" applyNumberFormat="1" applyFont="1" applyFill="1" applyBorder="1" applyAlignment="1">
      <alignment horizontal="center"/>
    </xf>
    <xf numFmtId="0" fontId="14" fillId="9" borderId="6" xfId="0" applyFont="1" applyFill="1" applyBorder="1"/>
    <xf numFmtId="0" fontId="18" fillId="9" borderId="16" xfId="0" applyFont="1" applyFill="1" applyBorder="1"/>
    <xf numFmtId="0" fontId="36" fillId="9" borderId="3" xfId="0" applyFont="1" applyFill="1" applyBorder="1"/>
    <xf numFmtId="0" fontId="36" fillId="9" borderId="4" xfId="0" applyFont="1" applyFill="1" applyBorder="1"/>
    <xf numFmtId="0" fontId="17" fillId="2" borderId="4" xfId="0" applyNumberFormat="1" applyFont="1" applyFill="1" applyBorder="1" applyAlignment="1">
      <alignment horizontal="center"/>
    </xf>
    <xf numFmtId="0" fontId="15" fillId="9" borderId="5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 vertical="center"/>
    </xf>
    <xf numFmtId="0" fontId="6" fillId="11" borderId="2" xfId="0" applyNumberFormat="1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1" fillId="9" borderId="4" xfId="0" applyFont="1" applyFill="1" applyBorder="1"/>
    <xf numFmtId="0" fontId="1" fillId="9" borderId="3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9"/>
  <sheetViews>
    <sheetView tabSelected="1" view="pageBreakPreview" zoomScale="90" zoomScaleNormal="100" zoomScaleSheetLayoutView="90" workbookViewId="0">
      <pane xSplit="6" ySplit="5" topLeftCell="G258" activePane="bottomRight" state="frozen"/>
      <selection pane="topRight" activeCell="J1" sqref="J1"/>
      <selection pane="bottomLeft" activeCell="A6" sqref="A6"/>
      <selection pane="bottomRight" activeCell="H263" sqref="H263"/>
    </sheetView>
  </sheetViews>
  <sheetFormatPr defaultRowHeight="14.5" x14ac:dyDescent="0.35"/>
  <cols>
    <col min="1" max="1" width="10.1796875" customWidth="1"/>
    <col min="2" max="2" width="11.1796875" customWidth="1"/>
    <col min="3" max="3" width="16.453125" customWidth="1"/>
    <col min="4" max="4" width="9.81640625" customWidth="1"/>
    <col min="5" max="5" width="12.36328125" customWidth="1"/>
    <col min="6" max="7" width="9.1796875" customWidth="1"/>
    <col min="8" max="8" width="11.54296875" customWidth="1"/>
    <col min="9" max="9" width="9.1796875" style="96" customWidth="1"/>
    <col min="10" max="10" width="11.1796875" style="96" customWidth="1"/>
    <col min="11" max="12" width="9.1796875" style="96" customWidth="1"/>
    <col min="13" max="13" width="14.7265625" style="92" customWidth="1"/>
    <col min="14" max="14" width="9.54296875" customWidth="1"/>
    <col min="15" max="15" width="17" customWidth="1"/>
  </cols>
  <sheetData>
    <row r="1" spans="1:15" ht="26" x14ac:dyDescent="0.35">
      <c r="A1" s="257" t="s">
        <v>0</v>
      </c>
      <c r="B1" s="257"/>
      <c r="C1" s="257"/>
      <c r="D1" s="257"/>
      <c r="E1" s="257"/>
      <c r="F1" s="257"/>
      <c r="G1" s="1"/>
      <c r="H1" s="1"/>
      <c r="I1" s="91"/>
      <c r="J1" s="91"/>
      <c r="K1" s="91"/>
      <c r="L1" s="91"/>
    </row>
    <row r="2" spans="1:15" ht="21.5" thickBot="1" x14ac:dyDescent="0.4">
      <c r="A2" s="258" t="s">
        <v>111</v>
      </c>
      <c r="B2" s="258"/>
      <c r="C2" s="258"/>
      <c r="D2" s="258"/>
      <c r="E2" s="258"/>
      <c r="F2" s="258"/>
      <c r="G2" s="81"/>
      <c r="H2" s="81"/>
      <c r="I2" s="135"/>
      <c r="J2" s="135"/>
      <c r="K2" s="135"/>
      <c r="L2" s="135"/>
      <c r="M2" s="259" t="s">
        <v>1</v>
      </c>
      <c r="N2" s="260"/>
      <c r="O2" s="260"/>
    </row>
    <row r="3" spans="1:15" ht="72.5" x14ac:dyDescent="0.35">
      <c r="A3" s="2" t="s">
        <v>2</v>
      </c>
      <c r="B3" s="2" t="s">
        <v>3</v>
      </c>
      <c r="C3" s="2" t="s">
        <v>129</v>
      </c>
      <c r="D3" s="2" t="s">
        <v>4</v>
      </c>
      <c r="E3" s="2" t="s">
        <v>105</v>
      </c>
      <c r="F3" s="3" t="s">
        <v>118</v>
      </c>
      <c r="G3" s="84" t="s">
        <v>110</v>
      </c>
      <c r="H3" s="124" t="s">
        <v>128</v>
      </c>
      <c r="I3" s="136" t="s">
        <v>124</v>
      </c>
      <c r="J3" s="137" t="s">
        <v>135</v>
      </c>
      <c r="K3" s="137" t="s">
        <v>114</v>
      </c>
      <c r="L3" s="137" t="s">
        <v>113</v>
      </c>
      <c r="M3" s="195"/>
      <c r="N3" s="90" t="s">
        <v>5</v>
      </c>
      <c r="O3" s="4" t="s">
        <v>6</v>
      </c>
    </row>
    <row r="4" spans="1:15" ht="15.5" x14ac:dyDescent="0.35">
      <c r="A4" s="251" t="s">
        <v>7</v>
      </c>
      <c r="B4" s="252"/>
      <c r="C4" s="252"/>
      <c r="D4" s="253"/>
      <c r="E4" s="5"/>
      <c r="F4" s="6"/>
      <c r="G4" s="82"/>
      <c r="H4" s="83"/>
      <c r="I4" s="138"/>
      <c r="J4" s="93"/>
      <c r="K4" s="93"/>
      <c r="L4" s="93"/>
      <c r="M4" s="139"/>
      <c r="N4" s="90"/>
      <c r="O4" s="4"/>
    </row>
    <row r="5" spans="1:15" ht="15.5" x14ac:dyDescent="0.35">
      <c r="A5" s="8">
        <v>1</v>
      </c>
      <c r="B5" s="9"/>
      <c r="C5" s="10">
        <v>45460</v>
      </c>
      <c r="D5" s="11">
        <v>4596</v>
      </c>
      <c r="E5" s="12">
        <v>4596</v>
      </c>
      <c r="F5" s="6">
        <f>E5-D5</f>
        <v>0</v>
      </c>
      <c r="G5" s="82"/>
      <c r="H5" s="83"/>
      <c r="I5" s="138"/>
      <c r="J5" s="93"/>
      <c r="K5" s="93"/>
      <c r="L5" s="93"/>
      <c r="M5" s="139"/>
      <c r="N5" s="90">
        <f>F5*M5</f>
        <v>0</v>
      </c>
      <c r="O5" s="4">
        <f>N5+N6</f>
        <v>0</v>
      </c>
    </row>
    <row r="6" spans="1:15" ht="15.5" x14ac:dyDescent="0.35">
      <c r="A6" s="8">
        <v>1</v>
      </c>
      <c r="B6" s="9"/>
      <c r="C6" s="10">
        <v>45460</v>
      </c>
      <c r="D6" s="11">
        <v>2391</v>
      </c>
      <c r="E6" s="12">
        <v>2391</v>
      </c>
      <c r="F6" s="6">
        <f>E6-D6</f>
        <v>0</v>
      </c>
      <c r="G6" s="82"/>
      <c r="H6" s="83"/>
      <c r="I6" s="138"/>
      <c r="J6" s="93"/>
      <c r="K6" s="93"/>
      <c r="L6" s="93"/>
      <c r="M6" s="139"/>
      <c r="N6" s="90">
        <f>M6*F6</f>
        <v>0</v>
      </c>
      <c r="O6" s="4"/>
    </row>
    <row r="7" spans="1:15" s="106" customFormat="1" ht="15.5" x14ac:dyDescent="0.35">
      <c r="A7" s="165">
        <v>1</v>
      </c>
      <c r="B7" s="97"/>
      <c r="C7" s="98">
        <v>45460</v>
      </c>
      <c r="D7" s="99">
        <f>8642+420+126+209+62+142+54+114+85</f>
        <v>9854</v>
      </c>
      <c r="E7" s="170">
        <v>9854</v>
      </c>
      <c r="F7" s="158">
        <f>E7-D7</f>
        <v>0</v>
      </c>
      <c r="G7" s="103">
        <v>10439</v>
      </c>
      <c r="H7" s="159">
        <f>D7-G7</f>
        <v>-585</v>
      </c>
      <c r="I7" s="160">
        <f>585*5.85</f>
        <v>3422.25</v>
      </c>
      <c r="J7" s="104">
        <f>K7*0.263</f>
        <v>78.900000000000006</v>
      </c>
      <c r="K7" s="104">
        <v>300</v>
      </c>
      <c r="L7" s="104">
        <v>0</v>
      </c>
      <c r="M7" s="161"/>
      <c r="N7" s="162"/>
      <c r="O7" s="105"/>
    </row>
    <row r="8" spans="1:15" s="106" customFormat="1" ht="15.5" x14ac:dyDescent="0.35">
      <c r="A8" s="165">
        <v>2</v>
      </c>
      <c r="B8" s="97"/>
      <c r="C8" s="98">
        <v>45827</v>
      </c>
      <c r="D8" s="157">
        <f>50280+957</f>
        <v>51237</v>
      </c>
      <c r="E8" s="170">
        <v>51237</v>
      </c>
      <c r="F8" s="158">
        <f t="shared" ref="F8:F14" si="0">E8-D8</f>
        <v>0</v>
      </c>
      <c r="G8" s="103">
        <v>64070</v>
      </c>
      <c r="H8" s="159">
        <f>D8-G8</f>
        <v>-12833</v>
      </c>
      <c r="I8" s="160">
        <f>12833*5.85-200-10000-7000</f>
        <v>57873.049999999988</v>
      </c>
      <c r="J8" s="104"/>
      <c r="K8" s="104">
        <v>0</v>
      </c>
      <c r="L8" s="104">
        <v>0</v>
      </c>
      <c r="M8" s="161"/>
      <c r="N8" s="162">
        <f>F8*M8</f>
        <v>0</v>
      </c>
      <c r="O8" s="105"/>
    </row>
    <row r="9" spans="1:15" s="106" customFormat="1" x14ac:dyDescent="0.35">
      <c r="A9" s="176">
        <v>3</v>
      </c>
      <c r="B9" s="97" t="s">
        <v>8</v>
      </c>
      <c r="C9" s="177">
        <v>45782</v>
      </c>
      <c r="D9" s="102">
        <v>22198</v>
      </c>
      <c r="E9" s="102">
        <v>22198</v>
      </c>
      <c r="F9" s="102">
        <f t="shared" si="0"/>
        <v>0</v>
      </c>
      <c r="G9" s="103">
        <v>22694</v>
      </c>
      <c r="H9" s="159">
        <f>D9-G9</f>
        <v>-496</v>
      </c>
      <c r="I9" s="160">
        <f>3730.28+115</f>
        <v>3845.28</v>
      </c>
      <c r="J9" s="104"/>
      <c r="K9" s="104">
        <v>0</v>
      </c>
      <c r="L9" s="104">
        <v>0</v>
      </c>
      <c r="M9" s="161">
        <v>6.28</v>
      </c>
      <c r="N9" s="162">
        <f>F9*M9</f>
        <v>0</v>
      </c>
      <c r="O9" s="105"/>
    </row>
    <row r="10" spans="1:15" x14ac:dyDescent="0.35">
      <c r="A10" s="14">
        <v>3</v>
      </c>
      <c r="B10" s="9" t="s">
        <v>9</v>
      </c>
      <c r="C10" s="15">
        <v>45782</v>
      </c>
      <c r="D10" s="7">
        <v>22197</v>
      </c>
      <c r="E10" s="7">
        <v>22197</v>
      </c>
      <c r="F10" s="7">
        <f t="shared" si="0"/>
        <v>0</v>
      </c>
      <c r="G10" s="82">
        <v>22378</v>
      </c>
      <c r="H10" s="83">
        <f>D10-G10</f>
        <v>-181</v>
      </c>
      <c r="I10" s="138"/>
      <c r="J10" s="93"/>
      <c r="K10" s="93"/>
      <c r="L10" s="93"/>
      <c r="M10" s="139">
        <v>3.4</v>
      </c>
      <c r="N10" s="90">
        <f>F10*M10</f>
        <v>0</v>
      </c>
      <c r="O10" s="4">
        <f>N9+N10</f>
        <v>0</v>
      </c>
    </row>
    <row r="11" spans="1:15" s="106" customFormat="1" x14ac:dyDescent="0.35">
      <c r="A11" s="171">
        <v>4</v>
      </c>
      <c r="B11" s="172"/>
      <c r="C11" s="173" t="s">
        <v>116</v>
      </c>
      <c r="D11" s="174"/>
      <c r="E11" s="175"/>
      <c r="F11" s="175"/>
      <c r="G11" s="103"/>
      <c r="H11" s="159"/>
      <c r="I11" s="160">
        <v>0</v>
      </c>
      <c r="J11" s="104"/>
      <c r="K11" s="104">
        <v>0</v>
      </c>
      <c r="L11" s="104">
        <v>0</v>
      </c>
      <c r="M11" s="161"/>
      <c r="N11" s="162"/>
      <c r="O11" s="105"/>
    </row>
    <row r="12" spans="1:15" s="106" customFormat="1" ht="15.5" x14ac:dyDescent="0.35">
      <c r="A12" s="178">
        <v>5</v>
      </c>
      <c r="B12" s="172">
        <f>26000+368+552</f>
        <v>26920</v>
      </c>
      <c r="C12" s="179">
        <v>45797</v>
      </c>
      <c r="D12" s="180">
        <f>32459+368+552</f>
        <v>33379</v>
      </c>
      <c r="E12" s="181">
        <v>33379</v>
      </c>
      <c r="F12" s="182">
        <f t="shared" si="0"/>
        <v>0</v>
      </c>
      <c r="G12" s="103">
        <v>33955</v>
      </c>
      <c r="H12" s="159">
        <f>D12-G12</f>
        <v>-576</v>
      </c>
      <c r="I12" s="160">
        <f>576*5.85</f>
        <v>3369.6</v>
      </c>
      <c r="J12" s="104"/>
      <c r="K12" s="104">
        <v>0</v>
      </c>
      <c r="L12" s="104">
        <v>0</v>
      </c>
      <c r="M12" s="161"/>
      <c r="N12" s="162">
        <f>F12*M12</f>
        <v>0</v>
      </c>
      <c r="O12" s="105"/>
    </row>
    <row r="13" spans="1:15" s="106" customFormat="1" ht="15.5" x14ac:dyDescent="0.35">
      <c r="A13" s="183" t="s">
        <v>10</v>
      </c>
      <c r="B13" s="97"/>
      <c r="C13" s="98">
        <v>45523</v>
      </c>
      <c r="D13" s="99">
        <v>1000</v>
      </c>
      <c r="E13" s="170">
        <v>1000</v>
      </c>
      <c r="F13" s="158">
        <f t="shared" si="0"/>
        <v>0</v>
      </c>
      <c r="G13" s="103">
        <v>871</v>
      </c>
      <c r="H13" s="159">
        <f>D13-G13</f>
        <v>129</v>
      </c>
      <c r="I13" s="160">
        <v>0</v>
      </c>
      <c r="J13" s="104"/>
      <c r="K13" s="104">
        <v>0</v>
      </c>
      <c r="L13" s="104">
        <v>0</v>
      </c>
      <c r="M13" s="161"/>
      <c r="N13" s="162">
        <f>M13*F13</f>
        <v>0</v>
      </c>
      <c r="O13" s="105"/>
    </row>
    <row r="14" spans="1:15" s="106" customFormat="1" ht="15.5" x14ac:dyDescent="0.35">
      <c r="A14" s="165">
        <v>8</v>
      </c>
      <c r="B14" s="97"/>
      <c r="C14" s="98">
        <v>44379</v>
      </c>
      <c r="D14" s="99">
        <v>12113</v>
      </c>
      <c r="E14" s="170">
        <v>12113</v>
      </c>
      <c r="F14" s="158">
        <f t="shared" si="0"/>
        <v>0</v>
      </c>
      <c r="G14" s="103">
        <v>12113</v>
      </c>
      <c r="H14" s="159">
        <f>D14-G14</f>
        <v>0</v>
      </c>
      <c r="I14" s="160">
        <v>0</v>
      </c>
      <c r="J14" s="104">
        <f>(K14+L14)*0.263</f>
        <v>8810.5</v>
      </c>
      <c r="K14" s="104">
        <f>400+500+300</f>
        <v>1200</v>
      </c>
      <c r="L14" s="104">
        <f>7500+7500+8000+9300</f>
        <v>32300</v>
      </c>
      <c r="M14" s="161"/>
      <c r="N14" s="198">
        <f>F14*M14</f>
        <v>0</v>
      </c>
      <c r="O14" s="105"/>
    </row>
    <row r="15" spans="1:15" ht="15.5" x14ac:dyDescent="0.35">
      <c r="A15" s="8">
        <v>9</v>
      </c>
      <c r="B15" s="9" t="s">
        <v>11</v>
      </c>
      <c r="C15" s="10">
        <v>45586</v>
      </c>
      <c r="D15" s="13">
        <v>3364</v>
      </c>
      <c r="E15" s="12">
        <v>3364</v>
      </c>
      <c r="F15" s="6">
        <f>E15-D15</f>
        <v>0</v>
      </c>
      <c r="G15" s="82"/>
      <c r="H15" s="83"/>
      <c r="I15" s="138"/>
      <c r="J15" s="93"/>
      <c r="K15" s="93"/>
      <c r="L15" s="93"/>
      <c r="M15" s="139"/>
      <c r="N15" s="90">
        <f>F15*M15</f>
        <v>0</v>
      </c>
      <c r="O15" s="4"/>
    </row>
    <row r="16" spans="1:15" ht="15.5" x14ac:dyDescent="0.35">
      <c r="A16" s="8">
        <v>9</v>
      </c>
      <c r="B16" s="9" t="s">
        <v>12</v>
      </c>
      <c r="C16" s="10">
        <v>45586</v>
      </c>
      <c r="D16" s="13">
        <v>613</v>
      </c>
      <c r="E16" s="12">
        <v>613</v>
      </c>
      <c r="F16" s="6">
        <f t="shared" ref="F16:F26" si="1">E16-D16</f>
        <v>0</v>
      </c>
      <c r="G16" s="82"/>
      <c r="H16" s="83"/>
      <c r="I16" s="138"/>
      <c r="J16" s="93"/>
      <c r="K16" s="93"/>
      <c r="L16" s="93"/>
      <c r="M16" s="139"/>
      <c r="N16" s="90">
        <f>F16*M16</f>
        <v>0</v>
      </c>
      <c r="O16" s="4">
        <f>N15+N16</f>
        <v>0</v>
      </c>
    </row>
    <row r="17" spans="1:15" s="106" customFormat="1" ht="15.5" x14ac:dyDescent="0.35">
      <c r="A17" s="165">
        <v>9</v>
      </c>
      <c r="B17" s="97" t="s">
        <v>13</v>
      </c>
      <c r="C17" s="98">
        <v>45586</v>
      </c>
      <c r="D17" s="99">
        <v>8379</v>
      </c>
      <c r="E17" s="170">
        <v>8379</v>
      </c>
      <c r="F17" s="158">
        <f t="shared" si="1"/>
        <v>0</v>
      </c>
      <c r="G17" s="103">
        <v>8366</v>
      </c>
      <c r="H17" s="159">
        <f>D17-G17</f>
        <v>13</v>
      </c>
      <c r="I17" s="160">
        <v>0</v>
      </c>
      <c r="J17" s="104"/>
      <c r="K17" s="104">
        <v>0</v>
      </c>
      <c r="L17" s="104">
        <v>0</v>
      </c>
      <c r="M17" s="161"/>
      <c r="N17" s="162"/>
      <c r="O17" s="105"/>
    </row>
    <row r="18" spans="1:15" ht="15.5" x14ac:dyDescent="0.35">
      <c r="A18" s="239" t="s">
        <v>123</v>
      </c>
      <c r="B18" s="18"/>
      <c r="C18" s="19"/>
      <c r="D18" s="20"/>
      <c r="E18" s="21"/>
      <c r="F18" s="22"/>
      <c r="G18" s="82"/>
      <c r="H18" s="83"/>
      <c r="I18" s="160">
        <v>0</v>
      </c>
      <c r="J18" s="104"/>
      <c r="K18" s="104">
        <v>0</v>
      </c>
      <c r="L18" s="104">
        <v>0</v>
      </c>
      <c r="M18" s="139"/>
      <c r="N18" s="90"/>
      <c r="O18" s="4"/>
    </row>
    <row r="19" spans="1:15" s="106" customFormat="1" ht="15.5" x14ac:dyDescent="0.35">
      <c r="A19" s="165">
        <v>12</v>
      </c>
      <c r="B19" s="97">
        <v>8897</v>
      </c>
      <c r="C19" s="98">
        <v>45597</v>
      </c>
      <c r="D19" s="197">
        <v>6196</v>
      </c>
      <c r="E19" s="170">
        <v>6196</v>
      </c>
      <c r="F19" s="158">
        <f t="shared" si="1"/>
        <v>0</v>
      </c>
      <c r="G19" s="103">
        <v>5986</v>
      </c>
      <c r="H19" s="159">
        <f>D19-G19</f>
        <v>210</v>
      </c>
      <c r="I19" s="160">
        <v>0</v>
      </c>
      <c r="J19" s="104"/>
      <c r="K19" s="104">
        <v>0</v>
      </c>
      <c r="L19" s="104">
        <v>0</v>
      </c>
      <c r="M19" s="161"/>
      <c r="N19" s="162"/>
      <c r="O19" s="105"/>
    </row>
    <row r="20" spans="1:15" s="106" customFormat="1" ht="15.5" x14ac:dyDescent="0.35">
      <c r="A20" s="165">
        <v>13</v>
      </c>
      <c r="B20" s="97"/>
      <c r="C20" s="98">
        <v>44390</v>
      </c>
      <c r="D20" s="99">
        <v>2695</v>
      </c>
      <c r="E20" s="170">
        <v>2695</v>
      </c>
      <c r="F20" s="158">
        <f t="shared" si="1"/>
        <v>0</v>
      </c>
      <c r="G20" s="103">
        <v>2735</v>
      </c>
      <c r="H20" s="159">
        <f>D20-G20</f>
        <v>-40</v>
      </c>
      <c r="I20" s="160">
        <f>36*5.85</f>
        <v>210.6</v>
      </c>
      <c r="J20" s="104"/>
      <c r="K20" s="104">
        <v>0</v>
      </c>
      <c r="L20" s="104">
        <v>0</v>
      </c>
      <c r="M20" s="161"/>
      <c r="N20" s="162"/>
      <c r="O20" s="105"/>
    </row>
    <row r="21" spans="1:15" s="106" customFormat="1" ht="15.5" x14ac:dyDescent="0.35">
      <c r="A21" s="165" t="s">
        <v>15</v>
      </c>
      <c r="B21" s="97"/>
      <c r="C21" s="98">
        <v>45660</v>
      </c>
      <c r="D21" s="99">
        <v>26800</v>
      </c>
      <c r="E21" s="192">
        <v>26800</v>
      </c>
      <c r="F21" s="158">
        <f t="shared" si="1"/>
        <v>0</v>
      </c>
      <c r="G21" s="103">
        <v>27490</v>
      </c>
      <c r="H21" s="159">
        <f>D21-G21</f>
        <v>-690</v>
      </c>
      <c r="I21" s="160">
        <f>690*5.85</f>
        <v>4036.4999999999995</v>
      </c>
      <c r="J21" s="104"/>
      <c r="K21" s="104">
        <v>0</v>
      </c>
      <c r="L21" s="104">
        <v>0</v>
      </c>
      <c r="M21" s="161"/>
      <c r="N21" s="198">
        <f>F21*M21</f>
        <v>0</v>
      </c>
      <c r="O21" s="105"/>
    </row>
    <row r="22" spans="1:15" s="106" customFormat="1" ht="15.5" x14ac:dyDescent="0.35">
      <c r="A22" s="165">
        <v>16</v>
      </c>
      <c r="B22" s="97"/>
      <c r="C22" s="98" t="s">
        <v>125</v>
      </c>
      <c r="D22" s="99"/>
      <c r="E22" s="192"/>
      <c r="F22" s="158"/>
      <c r="G22" s="103"/>
      <c r="H22" s="159"/>
      <c r="I22" s="160">
        <v>0</v>
      </c>
      <c r="J22" s="104"/>
      <c r="K22" s="104">
        <v>0</v>
      </c>
      <c r="L22" s="104">
        <v>0</v>
      </c>
      <c r="M22" s="161"/>
      <c r="N22" s="198"/>
      <c r="O22" s="105"/>
    </row>
    <row r="23" spans="1:15" s="106" customFormat="1" ht="15.5" x14ac:dyDescent="0.35">
      <c r="A23" s="165">
        <v>17</v>
      </c>
      <c r="B23" s="97"/>
      <c r="C23" s="98">
        <v>44739</v>
      </c>
      <c r="D23" s="99">
        <v>545</v>
      </c>
      <c r="E23" s="100">
        <f>475+70</f>
        <v>545</v>
      </c>
      <c r="F23" s="158">
        <f t="shared" si="1"/>
        <v>0</v>
      </c>
      <c r="G23" s="103">
        <v>571</v>
      </c>
      <c r="H23" s="159">
        <f>D23-G23</f>
        <v>-26</v>
      </c>
      <c r="I23" s="160">
        <f>8*5.85</f>
        <v>46.8</v>
      </c>
      <c r="J23" s="104">
        <v>78.900000000000006</v>
      </c>
      <c r="K23" s="104">
        <v>0</v>
      </c>
      <c r="L23" s="104">
        <v>300</v>
      </c>
      <c r="M23" s="161"/>
      <c r="N23" s="198">
        <f>F23*M23</f>
        <v>0</v>
      </c>
      <c r="O23" s="105"/>
    </row>
    <row r="24" spans="1:15" s="106" customFormat="1" ht="15.5" x14ac:dyDescent="0.35">
      <c r="A24" s="199">
        <v>18</v>
      </c>
      <c r="B24" s="200"/>
      <c r="C24" s="98">
        <v>45677</v>
      </c>
      <c r="D24" s="180">
        <v>9459</v>
      </c>
      <c r="E24" s="100">
        <v>9459</v>
      </c>
      <c r="F24" s="158">
        <f t="shared" si="1"/>
        <v>0</v>
      </c>
      <c r="G24" s="103">
        <v>8702</v>
      </c>
      <c r="H24" s="159">
        <f>D24-G24</f>
        <v>757</v>
      </c>
      <c r="I24" s="160">
        <v>0</v>
      </c>
      <c r="J24" s="104"/>
      <c r="K24" s="104">
        <v>0</v>
      </c>
      <c r="L24" s="104">
        <v>0</v>
      </c>
      <c r="M24" s="161"/>
      <c r="N24" s="201">
        <f>F24*M24</f>
        <v>0</v>
      </c>
      <c r="O24" s="202"/>
    </row>
    <row r="25" spans="1:15" ht="17" customHeight="1" x14ac:dyDescent="0.35">
      <c r="A25" s="25">
        <v>19</v>
      </c>
      <c r="B25" s="9" t="s">
        <v>16</v>
      </c>
      <c r="C25" s="16">
        <v>45804</v>
      </c>
      <c r="D25" s="13">
        <v>12070</v>
      </c>
      <c r="E25" s="12">
        <f>D25</f>
        <v>12070</v>
      </c>
      <c r="F25" s="6">
        <f t="shared" si="1"/>
        <v>0</v>
      </c>
      <c r="G25" s="82"/>
      <c r="H25" s="83"/>
      <c r="I25" s="138"/>
      <c r="J25" s="93"/>
      <c r="K25" s="93"/>
      <c r="L25" s="93"/>
      <c r="M25" s="139"/>
      <c r="N25" s="90">
        <f>F25*M25</f>
        <v>0</v>
      </c>
      <c r="O25" s="4"/>
    </row>
    <row r="26" spans="1:15" ht="15.5" x14ac:dyDescent="0.35">
      <c r="A26" s="8">
        <v>19</v>
      </c>
      <c r="B26" s="9" t="s">
        <v>17</v>
      </c>
      <c r="C26" s="16">
        <v>45804</v>
      </c>
      <c r="D26" s="13">
        <v>37897</v>
      </c>
      <c r="E26" s="24">
        <f>D26</f>
        <v>37897</v>
      </c>
      <c r="F26" s="6">
        <f t="shared" si="1"/>
        <v>0</v>
      </c>
      <c r="G26" s="82"/>
      <c r="H26" s="83"/>
      <c r="I26" s="138"/>
      <c r="J26" s="93"/>
      <c r="K26" s="93"/>
      <c r="L26" s="93"/>
      <c r="M26" s="139"/>
      <c r="N26" s="90">
        <f>F26*M26</f>
        <v>0</v>
      </c>
      <c r="O26" s="26">
        <f>N25+N26</f>
        <v>0</v>
      </c>
    </row>
    <row r="27" spans="1:15" s="106" customFormat="1" ht="15.5" x14ac:dyDescent="0.35">
      <c r="A27" s="178">
        <v>19</v>
      </c>
      <c r="B27" s="172" t="s">
        <v>13</v>
      </c>
      <c r="C27" s="179">
        <v>45804</v>
      </c>
      <c r="D27" s="203">
        <v>29629</v>
      </c>
      <c r="E27" s="100">
        <f>29307+240+82</f>
        <v>29629</v>
      </c>
      <c r="F27" s="158"/>
      <c r="G27" s="103">
        <v>29629</v>
      </c>
      <c r="H27" s="159">
        <f t="shared" ref="H27:H32" si="2">D27-G27</f>
        <v>0</v>
      </c>
      <c r="I27" s="160">
        <v>0</v>
      </c>
      <c r="J27" s="104"/>
      <c r="K27" s="104">
        <v>0</v>
      </c>
      <c r="L27" s="104">
        <v>0</v>
      </c>
      <c r="M27" s="161"/>
      <c r="N27" s="162"/>
      <c r="O27" s="204"/>
    </row>
    <row r="28" spans="1:15" s="106" customFormat="1" ht="15.5" x14ac:dyDescent="0.35">
      <c r="A28" s="178" t="s">
        <v>18</v>
      </c>
      <c r="B28" s="172"/>
      <c r="C28" s="179">
        <v>44741</v>
      </c>
      <c r="D28" s="240">
        <v>390</v>
      </c>
      <c r="E28" s="100">
        <v>364</v>
      </c>
      <c r="F28" s="158">
        <f>E28-D28</f>
        <v>-26</v>
      </c>
      <c r="G28" s="103">
        <v>717</v>
      </c>
      <c r="H28" s="159">
        <f t="shared" si="2"/>
        <v>-327</v>
      </c>
      <c r="I28" s="160">
        <f>282*5.85</f>
        <v>1649.6999999999998</v>
      </c>
      <c r="J28" s="104"/>
      <c r="K28" s="104">
        <v>0</v>
      </c>
      <c r="L28" s="104">
        <v>0</v>
      </c>
      <c r="M28" s="161"/>
      <c r="N28" s="162"/>
      <c r="O28" s="105"/>
    </row>
    <row r="29" spans="1:15" s="106" customFormat="1" ht="15.5" x14ac:dyDescent="0.35">
      <c r="A29" s="165">
        <v>21</v>
      </c>
      <c r="B29" s="97"/>
      <c r="C29" s="98">
        <v>45804</v>
      </c>
      <c r="D29" s="99">
        <v>9770</v>
      </c>
      <c r="E29" s="100">
        <f>D29</f>
        <v>9770</v>
      </c>
      <c r="F29" s="158">
        <f>E29-D29</f>
        <v>0</v>
      </c>
      <c r="G29" s="103">
        <v>10132</v>
      </c>
      <c r="H29" s="159">
        <f t="shared" si="2"/>
        <v>-362</v>
      </c>
      <c r="I29" s="160">
        <f>362*5.85</f>
        <v>2117.6999999999998</v>
      </c>
      <c r="J29" s="104"/>
      <c r="K29" s="104">
        <v>0</v>
      </c>
      <c r="L29" s="104">
        <v>0</v>
      </c>
      <c r="M29" s="161"/>
      <c r="N29" s="162">
        <f>F29*M29</f>
        <v>0</v>
      </c>
      <c r="O29" s="105"/>
    </row>
    <row r="30" spans="1:15" s="106" customFormat="1" ht="15.5" x14ac:dyDescent="0.35">
      <c r="A30" s="165" t="s">
        <v>19</v>
      </c>
      <c r="B30" s="97" t="s">
        <v>20</v>
      </c>
      <c r="C30" s="98">
        <v>45215</v>
      </c>
      <c r="D30" s="99">
        <v>8900</v>
      </c>
      <c r="E30" s="170">
        <v>8900</v>
      </c>
      <c r="F30" s="158">
        <f>E30-D30</f>
        <v>0</v>
      </c>
      <c r="G30" s="103">
        <v>8900</v>
      </c>
      <c r="H30" s="159">
        <f t="shared" si="2"/>
        <v>0</v>
      </c>
      <c r="I30" s="160">
        <v>0</v>
      </c>
      <c r="J30" s="104"/>
      <c r="K30" s="104">
        <v>0</v>
      </c>
      <c r="L30" s="104">
        <v>0</v>
      </c>
      <c r="M30" s="161"/>
      <c r="N30" s="162">
        <f>M30*F30</f>
        <v>0</v>
      </c>
      <c r="O30" s="105"/>
    </row>
    <row r="31" spans="1:15" ht="15.5" x14ac:dyDescent="0.35">
      <c r="A31" s="8" t="s">
        <v>21</v>
      </c>
      <c r="B31" s="9" t="s">
        <v>22</v>
      </c>
      <c r="C31" s="10">
        <v>45215</v>
      </c>
      <c r="D31" s="11">
        <v>15000</v>
      </c>
      <c r="E31" s="12">
        <v>15000</v>
      </c>
      <c r="F31" s="6">
        <f>E31-D31</f>
        <v>0</v>
      </c>
      <c r="G31" s="82">
        <v>15000</v>
      </c>
      <c r="H31" s="83">
        <f t="shared" si="2"/>
        <v>0</v>
      </c>
      <c r="I31" s="138"/>
      <c r="J31" s="93"/>
      <c r="K31" s="93"/>
      <c r="L31" s="93"/>
      <c r="M31" s="139">
        <v>6.28</v>
      </c>
      <c r="N31" s="90">
        <f>M31*H31</f>
        <v>0</v>
      </c>
      <c r="O31" s="4"/>
    </row>
    <row r="32" spans="1:15" ht="15.5" x14ac:dyDescent="0.35">
      <c r="A32" s="8" t="s">
        <v>21</v>
      </c>
      <c r="B32" s="9" t="s">
        <v>23</v>
      </c>
      <c r="C32" s="10">
        <v>45215</v>
      </c>
      <c r="D32" s="11">
        <v>5500</v>
      </c>
      <c r="E32" s="12">
        <v>5500</v>
      </c>
      <c r="F32" s="6">
        <f>E32-D32</f>
        <v>0</v>
      </c>
      <c r="G32" s="82">
        <v>5500</v>
      </c>
      <c r="H32" s="83">
        <f t="shared" si="2"/>
        <v>0</v>
      </c>
      <c r="I32" s="138"/>
      <c r="J32" s="93"/>
      <c r="K32" s="93"/>
      <c r="L32" s="93"/>
      <c r="M32" s="139">
        <v>3.4</v>
      </c>
      <c r="N32" s="90">
        <f>M32*H32</f>
        <v>0</v>
      </c>
      <c r="O32" s="4">
        <f>SUM(N30:N32)</f>
        <v>0</v>
      </c>
    </row>
    <row r="33" spans="1:15" s="106" customFormat="1" ht="15.5" x14ac:dyDescent="0.35">
      <c r="A33" s="165">
        <v>285</v>
      </c>
      <c r="B33" s="97" t="s">
        <v>132</v>
      </c>
      <c r="C33" s="98">
        <v>45201</v>
      </c>
      <c r="D33" s="99">
        <v>32280</v>
      </c>
      <c r="E33" s="170">
        <v>32280</v>
      </c>
      <c r="F33" s="158"/>
      <c r="G33" s="103" t="s">
        <v>133</v>
      </c>
      <c r="H33" s="159"/>
      <c r="I33" s="160"/>
      <c r="J33" s="104"/>
      <c r="K33" s="104">
        <v>0</v>
      </c>
      <c r="L33" s="104">
        <v>0</v>
      </c>
      <c r="M33" s="161"/>
      <c r="N33" s="162"/>
      <c r="O33" s="105"/>
    </row>
    <row r="34" spans="1:15" s="106" customFormat="1" ht="15.5" x14ac:dyDescent="0.35">
      <c r="A34" s="165">
        <v>23</v>
      </c>
      <c r="B34" s="97"/>
      <c r="C34" s="98">
        <v>45596</v>
      </c>
      <c r="D34" s="99">
        <v>304</v>
      </c>
      <c r="E34" s="170">
        <v>304</v>
      </c>
      <c r="F34" s="158">
        <f>E34-D34</f>
        <v>0</v>
      </c>
      <c r="G34" s="103">
        <v>218</v>
      </c>
      <c r="H34" s="159">
        <f>D34-G34</f>
        <v>86</v>
      </c>
      <c r="I34" s="160">
        <v>0</v>
      </c>
      <c r="J34" s="104"/>
      <c r="K34" s="104">
        <v>0</v>
      </c>
      <c r="L34" s="104">
        <v>0</v>
      </c>
      <c r="M34" s="161"/>
      <c r="N34" s="162"/>
      <c r="O34" s="105"/>
    </row>
    <row r="35" spans="1:15" ht="15.5" x14ac:dyDescent="0.35">
      <c r="A35" s="17">
        <v>24</v>
      </c>
      <c r="B35" s="18" t="s">
        <v>24</v>
      </c>
      <c r="C35" s="19"/>
      <c r="D35" s="28"/>
      <c r="E35" s="21"/>
      <c r="F35" s="22"/>
      <c r="G35" s="82"/>
      <c r="H35" s="83">
        <f>D35-G35</f>
        <v>0</v>
      </c>
      <c r="I35" s="160">
        <v>0</v>
      </c>
      <c r="J35" s="104"/>
      <c r="K35" s="104">
        <v>0</v>
      </c>
      <c r="L35" s="104">
        <v>0</v>
      </c>
      <c r="M35" s="139"/>
      <c r="N35" s="90"/>
      <c r="O35" s="4"/>
    </row>
    <row r="36" spans="1:15" s="106" customFormat="1" ht="15.5" x14ac:dyDescent="0.35">
      <c r="A36" s="165">
        <v>25</v>
      </c>
      <c r="B36" s="97"/>
      <c r="C36" s="98">
        <v>43718</v>
      </c>
      <c r="D36" s="99">
        <v>6645</v>
      </c>
      <c r="E36" s="170">
        <v>6645</v>
      </c>
      <c r="F36" s="158">
        <f>E36-D36</f>
        <v>0</v>
      </c>
      <c r="G36" s="103">
        <v>6748</v>
      </c>
      <c r="H36" s="159">
        <f>D36-G36</f>
        <v>-103</v>
      </c>
      <c r="I36" s="160">
        <f>103*5.85</f>
        <v>602.54999999999995</v>
      </c>
      <c r="J36" s="104">
        <f>(K36+L36)*0.263</f>
        <v>2524.8000000000002</v>
      </c>
      <c r="K36" s="104">
        <v>300</v>
      </c>
      <c r="L36" s="104">
        <v>9300</v>
      </c>
      <c r="M36" s="161"/>
      <c r="N36" s="162"/>
      <c r="O36" s="105"/>
    </row>
    <row r="37" spans="1:15" s="106" customFormat="1" ht="15.5" x14ac:dyDescent="0.35">
      <c r="A37" s="165" t="s">
        <v>25</v>
      </c>
      <c r="B37" s="97"/>
      <c r="C37" s="98">
        <v>45147</v>
      </c>
      <c r="D37" s="99">
        <f>628+91</f>
        <v>719</v>
      </c>
      <c r="E37" s="170">
        <v>719</v>
      </c>
      <c r="F37" s="158"/>
      <c r="G37" s="103">
        <v>684</v>
      </c>
      <c r="H37" s="159">
        <f>D37-G37</f>
        <v>35</v>
      </c>
      <c r="I37" s="160">
        <v>0</v>
      </c>
      <c r="J37" s="104"/>
      <c r="K37" s="104">
        <v>0</v>
      </c>
      <c r="L37" s="104">
        <v>0</v>
      </c>
      <c r="M37" s="161"/>
      <c r="N37" s="162">
        <v>490</v>
      </c>
      <c r="O37" s="105"/>
    </row>
    <row r="38" spans="1:15" ht="15.5" x14ac:dyDescent="0.35">
      <c r="A38" s="251" t="s">
        <v>26</v>
      </c>
      <c r="B38" s="252"/>
      <c r="C38" s="253"/>
      <c r="D38" s="29" t="s">
        <v>27</v>
      </c>
      <c r="E38" s="5">
        <v>44905</v>
      </c>
      <c r="F38" s="5"/>
      <c r="G38" s="82"/>
      <c r="H38" s="83"/>
      <c r="I38" s="138"/>
      <c r="J38" s="93"/>
      <c r="K38" s="93"/>
      <c r="L38" s="93"/>
      <c r="M38" s="139"/>
      <c r="N38" s="90"/>
      <c r="O38" s="4"/>
    </row>
    <row r="39" spans="1:15" ht="15.5" x14ac:dyDescent="0.35">
      <c r="A39" s="30">
        <v>28</v>
      </c>
      <c r="B39" s="18"/>
      <c r="C39" s="31"/>
      <c r="D39" s="32"/>
      <c r="E39" s="33"/>
      <c r="F39" s="33"/>
      <c r="G39" s="82"/>
      <c r="H39" s="83">
        <f>D39-G39</f>
        <v>0</v>
      </c>
      <c r="I39" s="160">
        <v>0</v>
      </c>
      <c r="J39" s="104">
        <v>78.900000000000006</v>
      </c>
      <c r="K39" s="104">
        <v>300</v>
      </c>
      <c r="L39" s="104">
        <v>0</v>
      </c>
      <c r="M39" s="139"/>
      <c r="N39" s="90"/>
      <c r="O39" s="4"/>
    </row>
    <row r="40" spans="1:15" s="106" customFormat="1" ht="15.5" x14ac:dyDescent="0.35">
      <c r="A40" s="163">
        <v>29</v>
      </c>
      <c r="B40" s="97"/>
      <c r="C40" s="98">
        <v>45576</v>
      </c>
      <c r="D40" s="99">
        <v>5700</v>
      </c>
      <c r="E40" s="170">
        <v>5700</v>
      </c>
      <c r="F40" s="158">
        <f t="shared" ref="F40:F63" si="3">E40-D40</f>
        <v>0</v>
      </c>
      <c r="G40" s="103">
        <v>6065</v>
      </c>
      <c r="H40" s="159">
        <f>D40-G40</f>
        <v>-365</v>
      </c>
      <c r="I40" s="160">
        <f>365*5.85</f>
        <v>2135.25</v>
      </c>
      <c r="J40" s="104"/>
      <c r="K40" s="104">
        <v>0</v>
      </c>
      <c r="L40" s="104">
        <v>0</v>
      </c>
      <c r="M40" s="161"/>
      <c r="N40" s="162">
        <f>M40*F40</f>
        <v>0</v>
      </c>
      <c r="O40" s="105"/>
    </row>
    <row r="41" spans="1:15" s="106" customFormat="1" ht="15.5" x14ac:dyDescent="0.35">
      <c r="A41" s="163">
        <v>30</v>
      </c>
      <c r="B41" s="97"/>
      <c r="C41" s="98">
        <v>45103</v>
      </c>
      <c r="D41" s="99">
        <v>3146</v>
      </c>
      <c r="E41" s="170">
        <v>3146</v>
      </c>
      <c r="F41" s="158">
        <f t="shared" si="3"/>
        <v>0</v>
      </c>
      <c r="G41" s="103">
        <v>2550</v>
      </c>
      <c r="H41" s="159">
        <f>D41-G41</f>
        <v>596</v>
      </c>
      <c r="I41" s="160">
        <v>0</v>
      </c>
      <c r="J41" s="104">
        <v>78.900000000000006</v>
      </c>
      <c r="K41" s="104">
        <v>300</v>
      </c>
      <c r="L41" s="104">
        <v>0</v>
      </c>
      <c r="M41" s="161"/>
      <c r="N41" s="162">
        <f>F41*M41</f>
        <v>0</v>
      </c>
      <c r="O41" s="105"/>
    </row>
    <row r="42" spans="1:15" ht="15.5" x14ac:dyDescent="0.35">
      <c r="A42" s="35">
        <v>31</v>
      </c>
      <c r="B42" s="18"/>
      <c r="C42" s="19">
        <v>45122</v>
      </c>
      <c r="D42" s="36"/>
      <c r="E42" s="21"/>
      <c r="F42" s="22"/>
      <c r="G42" s="82"/>
      <c r="H42" s="83"/>
      <c r="I42" s="160">
        <v>0</v>
      </c>
      <c r="J42" s="104"/>
      <c r="K42" s="104">
        <v>0</v>
      </c>
      <c r="L42" s="104">
        <v>0</v>
      </c>
      <c r="M42" s="139"/>
      <c r="N42" s="90">
        <f>F42*M42</f>
        <v>0</v>
      </c>
      <c r="O42" s="4"/>
    </row>
    <row r="43" spans="1:15" s="106" customFormat="1" ht="15.5" x14ac:dyDescent="0.35">
      <c r="A43" s="163">
        <v>32</v>
      </c>
      <c r="B43" s="97"/>
      <c r="C43" s="98">
        <v>45563</v>
      </c>
      <c r="D43" s="157">
        <v>8359</v>
      </c>
      <c r="E43" s="100">
        <v>8359</v>
      </c>
      <c r="F43" s="158">
        <f>D43-E43</f>
        <v>0</v>
      </c>
      <c r="G43" s="103">
        <v>8370</v>
      </c>
      <c r="H43" s="159">
        <f>D43-G43</f>
        <v>-11</v>
      </c>
      <c r="I43" s="160">
        <f>11*5.85</f>
        <v>64.349999999999994</v>
      </c>
      <c r="J43" s="104"/>
      <c r="K43" s="104">
        <v>0</v>
      </c>
      <c r="L43" s="104">
        <v>0</v>
      </c>
      <c r="M43" s="161"/>
      <c r="N43" s="162">
        <f>F43*M43</f>
        <v>0</v>
      </c>
      <c r="O43" s="105"/>
    </row>
    <row r="44" spans="1:15" s="106" customFormat="1" ht="18.5" customHeight="1" x14ac:dyDescent="0.35">
      <c r="A44" s="163">
        <v>33</v>
      </c>
      <c r="B44" s="97"/>
      <c r="C44" s="98" t="s">
        <v>116</v>
      </c>
      <c r="D44" s="157"/>
      <c r="E44" s="100"/>
      <c r="F44" s="158"/>
      <c r="G44" s="103"/>
      <c r="H44" s="159"/>
      <c r="I44" s="160">
        <v>0</v>
      </c>
      <c r="J44" s="104"/>
      <c r="K44" s="104">
        <v>0</v>
      </c>
      <c r="L44" s="104">
        <v>0</v>
      </c>
      <c r="M44" s="161"/>
      <c r="N44" s="162"/>
      <c r="O44" s="105"/>
    </row>
    <row r="45" spans="1:15" s="106" customFormat="1" ht="14.5" customHeight="1" x14ac:dyDescent="0.35">
      <c r="A45" s="163">
        <v>34</v>
      </c>
      <c r="B45" s="97"/>
      <c r="C45" s="98" t="s">
        <v>116</v>
      </c>
      <c r="D45" s="157"/>
      <c r="E45" s="100"/>
      <c r="F45" s="158"/>
      <c r="G45" s="103"/>
      <c r="H45" s="159"/>
      <c r="I45" s="160">
        <v>0</v>
      </c>
      <c r="J45" s="104"/>
      <c r="K45" s="104">
        <v>0</v>
      </c>
      <c r="L45" s="104">
        <v>0</v>
      </c>
      <c r="M45" s="161"/>
      <c r="N45" s="162"/>
      <c r="O45" s="105"/>
    </row>
    <row r="46" spans="1:15" s="106" customFormat="1" ht="14.5" customHeight="1" x14ac:dyDescent="0.35">
      <c r="A46" s="163" t="s">
        <v>120</v>
      </c>
      <c r="B46" s="97"/>
      <c r="C46" s="98" t="s">
        <v>116</v>
      </c>
      <c r="D46" s="157"/>
      <c r="E46" s="100"/>
      <c r="F46" s="158"/>
      <c r="G46" s="103"/>
      <c r="H46" s="159"/>
      <c r="I46" s="160">
        <v>0</v>
      </c>
      <c r="J46" s="104"/>
      <c r="K46" s="104">
        <v>0</v>
      </c>
      <c r="L46" s="104">
        <v>0</v>
      </c>
      <c r="M46" s="161"/>
      <c r="N46" s="162"/>
      <c r="O46" s="105"/>
    </row>
    <row r="47" spans="1:15" s="106" customFormat="1" ht="15.5" x14ac:dyDescent="0.35">
      <c r="A47" s="163">
        <v>37</v>
      </c>
      <c r="B47" s="97"/>
      <c r="C47" s="98">
        <v>45545</v>
      </c>
      <c r="D47" s="99">
        <v>8454</v>
      </c>
      <c r="E47" s="100">
        <v>8454</v>
      </c>
      <c r="F47" s="158">
        <f>E47-D47</f>
        <v>0</v>
      </c>
      <c r="G47" s="103">
        <v>8439</v>
      </c>
      <c r="H47" s="159">
        <f>D47-G47</f>
        <v>15</v>
      </c>
      <c r="I47" s="160">
        <v>0</v>
      </c>
      <c r="J47" s="104"/>
      <c r="K47" s="104">
        <v>0</v>
      </c>
      <c r="L47" s="104">
        <v>0</v>
      </c>
      <c r="M47" s="161"/>
      <c r="N47" s="162">
        <f>F47*M47</f>
        <v>0</v>
      </c>
      <c r="O47" s="105"/>
    </row>
    <row r="48" spans="1:15" s="106" customFormat="1" ht="15.5" x14ac:dyDescent="0.35">
      <c r="A48" s="163">
        <v>38</v>
      </c>
      <c r="B48" s="97"/>
      <c r="C48" s="98">
        <v>45478</v>
      </c>
      <c r="D48" s="99">
        <v>4211</v>
      </c>
      <c r="E48" s="100">
        <v>4211</v>
      </c>
      <c r="F48" s="158">
        <f t="shared" si="3"/>
        <v>0</v>
      </c>
      <c r="G48" s="103">
        <v>3969</v>
      </c>
      <c r="H48" s="159">
        <f>D48-G48</f>
        <v>242</v>
      </c>
      <c r="I48" s="160">
        <v>0</v>
      </c>
      <c r="J48" s="104"/>
      <c r="K48" s="104">
        <v>0</v>
      </c>
      <c r="L48" s="104">
        <v>0</v>
      </c>
      <c r="M48" s="161"/>
      <c r="N48" s="198">
        <f>F48*M48</f>
        <v>0</v>
      </c>
      <c r="O48" s="105"/>
    </row>
    <row r="49" spans="1:15" s="106" customFormat="1" ht="15.5" x14ac:dyDescent="0.35">
      <c r="A49" s="163">
        <v>39</v>
      </c>
      <c r="B49" s="97" t="s">
        <v>28</v>
      </c>
      <c r="C49" s="98">
        <v>45819</v>
      </c>
      <c r="D49" s="157">
        <f>3658+74880</f>
        <v>78538</v>
      </c>
      <c r="E49" s="192">
        <f>3658+74880</f>
        <v>78538</v>
      </c>
      <c r="F49" s="193">
        <f t="shared" si="3"/>
        <v>0</v>
      </c>
      <c r="G49" s="103">
        <v>84402</v>
      </c>
      <c r="H49" s="159">
        <f>E49-G49</f>
        <v>-5864</v>
      </c>
      <c r="I49" s="160">
        <f>5864*5.85</f>
        <v>34304.400000000001</v>
      </c>
      <c r="J49" s="104">
        <v>78.900000000000006</v>
      </c>
      <c r="K49" s="104">
        <v>300</v>
      </c>
      <c r="L49" s="104">
        <v>0</v>
      </c>
      <c r="M49" s="226"/>
      <c r="N49" s="162"/>
      <c r="O49" s="105"/>
    </row>
    <row r="50" spans="1:15" ht="15.5" x14ac:dyDescent="0.35">
      <c r="A50" s="34">
        <v>39</v>
      </c>
      <c r="B50" s="9" t="s">
        <v>16</v>
      </c>
      <c r="C50" s="10"/>
      <c r="D50" s="13"/>
      <c r="E50" s="12"/>
      <c r="F50" s="37">
        <f t="shared" si="3"/>
        <v>0</v>
      </c>
      <c r="G50" s="82"/>
      <c r="H50" s="83"/>
      <c r="I50" s="138"/>
      <c r="J50" s="93"/>
      <c r="K50" s="93"/>
      <c r="L50" s="93"/>
      <c r="M50" s="139"/>
      <c r="N50" s="90">
        <f>F50*M50</f>
        <v>0</v>
      </c>
      <c r="O50" s="4"/>
    </row>
    <row r="51" spans="1:15" ht="15.5" x14ac:dyDescent="0.35">
      <c r="A51" s="34">
        <v>39</v>
      </c>
      <c r="B51" s="9" t="s">
        <v>29</v>
      </c>
      <c r="C51" s="10"/>
      <c r="D51" s="13"/>
      <c r="E51" s="12"/>
      <c r="F51" s="37">
        <f t="shared" si="3"/>
        <v>0</v>
      </c>
      <c r="G51" s="82"/>
      <c r="H51" s="83"/>
      <c r="I51" s="138"/>
      <c r="J51" s="93"/>
      <c r="K51" s="93"/>
      <c r="L51" s="93"/>
      <c r="M51" s="139"/>
      <c r="N51" s="90">
        <f>F51*M51</f>
        <v>0</v>
      </c>
      <c r="O51" s="4">
        <f>N50+N51</f>
        <v>0</v>
      </c>
    </row>
    <row r="52" spans="1:15" s="106" customFormat="1" ht="15.5" x14ac:dyDescent="0.35">
      <c r="A52" s="163">
        <v>40</v>
      </c>
      <c r="B52" s="97"/>
      <c r="C52" s="163">
        <v>2016</v>
      </c>
      <c r="D52" s="99">
        <v>7128</v>
      </c>
      <c r="E52" s="100">
        <v>7201</v>
      </c>
      <c r="F52" s="158">
        <f t="shared" si="3"/>
        <v>73</v>
      </c>
      <c r="G52" s="103">
        <v>7201</v>
      </c>
      <c r="H52" s="159">
        <f>D52-G52</f>
        <v>-73</v>
      </c>
      <c r="I52" s="160">
        <f>73*5.85</f>
        <v>427.04999999999995</v>
      </c>
      <c r="J52" s="104">
        <v>2524.8000000000002</v>
      </c>
      <c r="K52" s="104">
        <v>300</v>
      </c>
      <c r="L52" s="104">
        <v>9300</v>
      </c>
      <c r="M52" s="161"/>
      <c r="N52" s="162"/>
      <c r="O52" s="105"/>
    </row>
    <row r="53" spans="1:15" s="106" customFormat="1" ht="15.5" x14ac:dyDescent="0.35">
      <c r="A53" s="163">
        <v>41</v>
      </c>
      <c r="B53" s="97"/>
      <c r="C53" s="98">
        <v>45623</v>
      </c>
      <c r="D53" s="99">
        <f>1300+440+140</f>
        <v>1880</v>
      </c>
      <c r="E53" s="170">
        <f>440+140+1300</f>
        <v>1880</v>
      </c>
      <c r="F53" s="158">
        <f t="shared" si="3"/>
        <v>0</v>
      </c>
      <c r="G53" s="103">
        <v>1906</v>
      </c>
      <c r="H53" s="159">
        <f>D53-G53</f>
        <v>-26</v>
      </c>
      <c r="I53" s="160">
        <f>26*5.85</f>
        <v>152.1</v>
      </c>
      <c r="J53" s="104">
        <v>78.900000000000006</v>
      </c>
      <c r="K53" s="104">
        <v>300</v>
      </c>
      <c r="L53" s="104">
        <v>0</v>
      </c>
      <c r="M53" s="161"/>
      <c r="N53" s="198">
        <f>F53*M53</f>
        <v>0</v>
      </c>
      <c r="O53" s="105"/>
    </row>
    <row r="54" spans="1:15" ht="15.5" x14ac:dyDescent="0.35">
      <c r="A54" s="35">
        <v>42</v>
      </c>
      <c r="B54" s="18"/>
      <c r="C54" s="19"/>
      <c r="D54" s="28"/>
      <c r="E54" s="21"/>
      <c r="F54" s="22"/>
      <c r="G54" s="82"/>
      <c r="H54" s="83"/>
      <c r="I54" s="160">
        <v>0</v>
      </c>
      <c r="J54" s="104">
        <v>78.900000000000006</v>
      </c>
      <c r="K54" s="104">
        <v>300</v>
      </c>
      <c r="L54" s="104">
        <v>0</v>
      </c>
      <c r="M54" s="139"/>
      <c r="N54" s="128"/>
      <c r="O54" s="4"/>
    </row>
    <row r="55" spans="1:15" s="106" customFormat="1" ht="15.5" x14ac:dyDescent="0.35">
      <c r="A55" s="163">
        <v>43</v>
      </c>
      <c r="B55" s="97"/>
      <c r="C55" s="98">
        <v>45652</v>
      </c>
      <c r="D55" s="99">
        <v>6811</v>
      </c>
      <c r="E55" s="100">
        <v>6811</v>
      </c>
      <c r="F55" s="158">
        <f>E55-D55</f>
        <v>0</v>
      </c>
      <c r="G55" s="103">
        <v>5899</v>
      </c>
      <c r="H55" s="159">
        <f t="shared" ref="H55:H63" si="4">D55-G55</f>
        <v>912</v>
      </c>
      <c r="I55" s="160">
        <v>0</v>
      </c>
      <c r="J55" s="104"/>
      <c r="K55" s="104">
        <v>0</v>
      </c>
      <c r="L55" s="104">
        <v>0</v>
      </c>
      <c r="M55" s="161"/>
      <c r="N55" s="162">
        <f>M55*F55</f>
        <v>0</v>
      </c>
      <c r="O55" s="105"/>
    </row>
    <row r="56" spans="1:15" s="106" customFormat="1" ht="15.5" x14ac:dyDescent="0.35">
      <c r="A56" s="163">
        <v>44</v>
      </c>
      <c r="B56" s="97"/>
      <c r="C56" s="98">
        <v>45268</v>
      </c>
      <c r="D56" s="99">
        <v>2405</v>
      </c>
      <c r="E56" s="170">
        <v>2405</v>
      </c>
      <c r="F56" s="158">
        <f t="shared" si="3"/>
        <v>0</v>
      </c>
      <c r="G56" s="103">
        <v>2250</v>
      </c>
      <c r="H56" s="159">
        <f t="shared" si="4"/>
        <v>155</v>
      </c>
      <c r="I56" s="160">
        <v>0</v>
      </c>
      <c r="J56" s="104"/>
      <c r="K56" s="104">
        <v>0</v>
      </c>
      <c r="L56" s="104">
        <v>0</v>
      </c>
      <c r="M56" s="161"/>
      <c r="N56" s="162"/>
      <c r="O56" s="105"/>
    </row>
    <row r="57" spans="1:15" s="106" customFormat="1" ht="15.5" x14ac:dyDescent="0.35">
      <c r="A57" s="163">
        <v>45</v>
      </c>
      <c r="B57" s="97"/>
      <c r="C57" s="98">
        <v>44828</v>
      </c>
      <c r="D57" s="99">
        <v>10489</v>
      </c>
      <c r="E57" s="170">
        <v>10489</v>
      </c>
      <c r="F57" s="158">
        <f t="shared" si="3"/>
        <v>0</v>
      </c>
      <c r="G57" s="103">
        <v>10557</v>
      </c>
      <c r="H57" s="159">
        <f t="shared" si="4"/>
        <v>-68</v>
      </c>
      <c r="I57" s="160">
        <f>68*5.85</f>
        <v>397.79999999999995</v>
      </c>
      <c r="J57" s="104"/>
      <c r="K57" s="104">
        <v>0</v>
      </c>
      <c r="L57" s="104">
        <v>0</v>
      </c>
      <c r="M57" s="161"/>
      <c r="N57" s="162"/>
      <c r="O57" s="105"/>
    </row>
    <row r="58" spans="1:15" s="106" customFormat="1" ht="15.5" x14ac:dyDescent="0.35">
      <c r="A58" s="163">
        <v>46</v>
      </c>
      <c r="B58" s="97"/>
      <c r="C58" s="98">
        <v>45764</v>
      </c>
      <c r="D58" s="99">
        <v>2647</v>
      </c>
      <c r="E58" s="170">
        <v>2647</v>
      </c>
      <c r="F58" s="158"/>
      <c r="G58" s="103">
        <v>2647</v>
      </c>
      <c r="H58" s="159">
        <f t="shared" si="4"/>
        <v>0</v>
      </c>
      <c r="I58" s="160">
        <v>0</v>
      </c>
      <c r="J58" s="104"/>
      <c r="K58" s="104">
        <v>0</v>
      </c>
      <c r="L58" s="104">
        <v>0</v>
      </c>
      <c r="M58" s="161"/>
      <c r="N58" s="162"/>
      <c r="O58" s="105"/>
    </row>
    <row r="59" spans="1:15" s="106" customFormat="1" ht="15.5" x14ac:dyDescent="0.35">
      <c r="A59" s="163">
        <v>48</v>
      </c>
      <c r="B59" s="97"/>
      <c r="C59" s="98">
        <v>45127</v>
      </c>
      <c r="D59" s="99">
        <f>11800+1000</f>
        <v>12800</v>
      </c>
      <c r="E59" s="100">
        <v>12800</v>
      </c>
      <c r="F59" s="193">
        <v>0</v>
      </c>
      <c r="G59" s="103">
        <v>12860</v>
      </c>
      <c r="H59" s="159">
        <f t="shared" si="4"/>
        <v>-60</v>
      </c>
      <c r="I59" s="160">
        <v>0</v>
      </c>
      <c r="J59" s="104"/>
      <c r="K59" s="104">
        <v>0</v>
      </c>
      <c r="L59" s="104">
        <v>0</v>
      </c>
      <c r="M59" s="161"/>
      <c r="N59" s="162"/>
      <c r="O59" s="105"/>
    </row>
    <row r="60" spans="1:15" s="106" customFormat="1" ht="15.5" x14ac:dyDescent="0.35">
      <c r="A60" s="163">
        <v>49</v>
      </c>
      <c r="B60" s="97"/>
      <c r="C60" s="98">
        <v>45618</v>
      </c>
      <c r="D60" s="99">
        <v>13932</v>
      </c>
      <c r="E60" s="100">
        <v>13932</v>
      </c>
      <c r="F60" s="158">
        <f t="shared" si="3"/>
        <v>0</v>
      </c>
      <c r="G60" s="103">
        <v>14516</v>
      </c>
      <c r="H60" s="159">
        <f t="shared" si="4"/>
        <v>-584</v>
      </c>
      <c r="I60" s="160">
        <f>584*5.85</f>
        <v>3416.3999999999996</v>
      </c>
      <c r="J60" s="104">
        <v>78.900000000000006</v>
      </c>
      <c r="K60" s="104">
        <v>300</v>
      </c>
      <c r="L60" s="104">
        <v>0</v>
      </c>
      <c r="M60" s="161"/>
      <c r="N60" s="162"/>
      <c r="O60" s="105"/>
    </row>
    <row r="61" spans="1:15" s="106" customFormat="1" ht="15.5" x14ac:dyDescent="0.35">
      <c r="A61" s="163">
        <v>50</v>
      </c>
      <c r="B61" s="97"/>
      <c r="C61" s="98">
        <v>45618</v>
      </c>
      <c r="D61" s="99">
        <v>15014</v>
      </c>
      <c r="E61" s="100">
        <v>15014</v>
      </c>
      <c r="F61" s="158">
        <f t="shared" si="3"/>
        <v>0</v>
      </c>
      <c r="G61" s="103">
        <v>15532</v>
      </c>
      <c r="H61" s="159">
        <f t="shared" si="4"/>
        <v>-518</v>
      </c>
      <c r="I61" s="160">
        <f>519*5.85</f>
        <v>3036.1499999999996</v>
      </c>
      <c r="J61" s="104">
        <v>78.900000000000006</v>
      </c>
      <c r="K61" s="104">
        <v>300</v>
      </c>
      <c r="L61" s="104">
        <v>0</v>
      </c>
      <c r="M61" s="161"/>
      <c r="N61" s="162">
        <f>M61*F61</f>
        <v>0</v>
      </c>
      <c r="O61" s="105"/>
    </row>
    <row r="62" spans="1:15" s="106" customFormat="1" ht="15.5" x14ac:dyDescent="0.35">
      <c r="A62" s="163">
        <v>51</v>
      </c>
      <c r="B62" s="97"/>
      <c r="C62" s="98">
        <v>45792</v>
      </c>
      <c r="D62" s="99">
        <f>12148+119</f>
        <v>12267</v>
      </c>
      <c r="E62" s="100">
        <f>D62</f>
        <v>12267</v>
      </c>
      <c r="F62" s="158">
        <f t="shared" si="3"/>
        <v>0</v>
      </c>
      <c r="G62" s="103">
        <v>10706</v>
      </c>
      <c r="H62" s="159">
        <f t="shared" si="4"/>
        <v>1561</v>
      </c>
      <c r="I62" s="160">
        <v>0</v>
      </c>
      <c r="J62" s="104"/>
      <c r="K62" s="104">
        <v>0</v>
      </c>
      <c r="L62" s="104">
        <v>0</v>
      </c>
      <c r="M62" s="161"/>
      <c r="N62" s="162">
        <f>F62*M62</f>
        <v>0</v>
      </c>
      <c r="O62" s="105"/>
    </row>
    <row r="63" spans="1:15" s="106" customFormat="1" ht="15.5" x14ac:dyDescent="0.35">
      <c r="A63" s="163">
        <v>52</v>
      </c>
      <c r="B63" s="97"/>
      <c r="C63" s="98">
        <v>45810</v>
      </c>
      <c r="D63" s="157">
        <f>84+1497</f>
        <v>1581</v>
      </c>
      <c r="E63" s="100">
        <f>84+ 1497</f>
        <v>1581</v>
      </c>
      <c r="F63" s="158">
        <f t="shared" si="3"/>
        <v>0</v>
      </c>
      <c r="G63" s="103">
        <v>1759</v>
      </c>
      <c r="H63" s="159">
        <f t="shared" si="4"/>
        <v>-178</v>
      </c>
      <c r="I63" s="160">
        <f>178*5.85</f>
        <v>1041.3</v>
      </c>
      <c r="J63" s="104"/>
      <c r="K63" s="104">
        <v>0</v>
      </c>
      <c r="L63" s="104">
        <v>0</v>
      </c>
      <c r="M63" s="161"/>
      <c r="N63" s="162"/>
      <c r="O63" s="105"/>
    </row>
    <row r="64" spans="1:15" s="106" customFormat="1" ht="15.5" x14ac:dyDescent="0.35">
      <c r="A64" s="163">
        <v>53</v>
      </c>
      <c r="B64" s="97"/>
      <c r="C64" s="98">
        <v>45108</v>
      </c>
      <c r="D64" s="99">
        <f>2296+252</f>
        <v>2548</v>
      </c>
      <c r="E64" s="100">
        <v>2548</v>
      </c>
      <c r="F64" s="158">
        <f t="shared" ref="F64:F67" si="5">E64-D64</f>
        <v>0</v>
      </c>
      <c r="G64" s="103">
        <v>2636</v>
      </c>
      <c r="H64" s="159">
        <f>E64-G64</f>
        <v>-88</v>
      </c>
      <c r="I64" s="160">
        <f>88*5.85</f>
        <v>514.79999999999995</v>
      </c>
      <c r="J64" s="104"/>
      <c r="K64" s="104">
        <v>0</v>
      </c>
      <c r="L64" s="104">
        <v>0</v>
      </c>
      <c r="M64" s="161"/>
      <c r="N64" s="162"/>
      <c r="O64" s="105"/>
    </row>
    <row r="65" spans="1:15" s="106" customFormat="1" ht="15.5" x14ac:dyDescent="0.35">
      <c r="A65" s="163">
        <v>54</v>
      </c>
      <c r="B65" s="97"/>
      <c r="C65" s="98">
        <v>45799</v>
      </c>
      <c r="D65" s="157">
        <v>9290</v>
      </c>
      <c r="E65" s="227">
        <v>9290</v>
      </c>
      <c r="F65" s="158">
        <f t="shared" si="5"/>
        <v>0</v>
      </c>
      <c r="G65" s="103">
        <v>9290</v>
      </c>
      <c r="H65" s="159">
        <f>D65-G65</f>
        <v>0</v>
      </c>
      <c r="I65" s="160">
        <v>0</v>
      </c>
      <c r="J65" s="104"/>
      <c r="K65" s="104">
        <v>0</v>
      </c>
      <c r="L65" s="104">
        <v>0</v>
      </c>
      <c r="M65" s="161"/>
      <c r="N65" s="228">
        <f>F65*M65</f>
        <v>0</v>
      </c>
      <c r="O65" s="204">
        <f>N65-14800</f>
        <v>-14800</v>
      </c>
    </row>
    <row r="66" spans="1:15" ht="15.5" x14ac:dyDescent="0.35">
      <c r="A66" s="34">
        <v>54</v>
      </c>
      <c r="B66" s="9" t="s">
        <v>109</v>
      </c>
      <c r="C66" s="10">
        <v>45799</v>
      </c>
      <c r="D66" s="38">
        <v>107995</v>
      </c>
      <c r="E66" s="24">
        <v>107995</v>
      </c>
      <c r="F66" s="6">
        <f t="shared" si="5"/>
        <v>0</v>
      </c>
      <c r="G66" s="82"/>
      <c r="H66" s="83"/>
      <c r="I66" s="138"/>
      <c r="J66" s="93"/>
      <c r="K66" s="93"/>
      <c r="L66" s="93"/>
      <c r="M66" s="139"/>
      <c r="N66" s="129">
        <f>M66*F66</f>
        <v>0</v>
      </c>
      <c r="O66" s="4"/>
    </row>
    <row r="67" spans="1:15" ht="15.5" x14ac:dyDescent="0.35">
      <c r="A67" s="34">
        <v>54</v>
      </c>
      <c r="B67" s="87" t="s">
        <v>31</v>
      </c>
      <c r="C67" s="10">
        <v>45799</v>
      </c>
      <c r="D67" s="38">
        <v>53443</v>
      </c>
      <c r="E67" s="24">
        <v>53443</v>
      </c>
      <c r="F67" s="6">
        <f t="shared" si="5"/>
        <v>0</v>
      </c>
      <c r="G67" s="82"/>
      <c r="H67" s="83"/>
      <c r="I67" s="138"/>
      <c r="J67" s="93"/>
      <c r="K67" s="93"/>
      <c r="L67" s="93"/>
      <c r="M67" s="139"/>
      <c r="N67" s="129">
        <f>M67*F67</f>
        <v>0</v>
      </c>
      <c r="O67" s="4">
        <f>N67+N66</f>
        <v>0</v>
      </c>
    </row>
    <row r="68" spans="1:15" s="106" customFormat="1" ht="15.5" x14ac:dyDescent="0.35">
      <c r="A68" s="163">
        <v>55</v>
      </c>
      <c r="B68" s="97" t="s">
        <v>13</v>
      </c>
      <c r="C68" s="98">
        <v>45810</v>
      </c>
      <c r="D68" s="99">
        <f>125+3684+248</f>
        <v>4057</v>
      </c>
      <c r="E68" s="224">
        <f>3470+214+125+248</f>
        <v>4057</v>
      </c>
      <c r="F68" s="158">
        <f>D68-E68</f>
        <v>0</v>
      </c>
      <c r="G68" s="103">
        <v>5043</v>
      </c>
      <c r="H68" s="159">
        <f>E68-G68</f>
        <v>-986</v>
      </c>
      <c r="I68" s="160">
        <f>986*5.85</f>
        <v>5768.0999999999995</v>
      </c>
      <c r="J68" s="104"/>
      <c r="K68" s="104">
        <v>0</v>
      </c>
      <c r="L68" s="104">
        <v>0</v>
      </c>
      <c r="M68" s="161"/>
      <c r="N68" s="162"/>
      <c r="O68" s="105"/>
    </row>
    <row r="69" spans="1:15" ht="15.5" x14ac:dyDescent="0.35">
      <c r="A69" s="34" t="s">
        <v>32</v>
      </c>
      <c r="B69" s="9"/>
      <c r="C69" s="10">
        <v>45810</v>
      </c>
      <c r="D69" s="13">
        <f>215+14336+248</f>
        <v>14799</v>
      </c>
      <c r="E69" s="12">
        <f>215+14336+248</f>
        <v>14799</v>
      </c>
      <c r="F69" s="6">
        <f>D69-E69</f>
        <v>0</v>
      </c>
      <c r="G69" s="82"/>
      <c r="H69" s="83"/>
      <c r="I69" s="138"/>
      <c r="J69" s="93"/>
      <c r="K69" s="93"/>
      <c r="L69" s="93"/>
      <c r="M69" s="139"/>
      <c r="N69" s="90"/>
      <c r="O69" s="4"/>
    </row>
    <row r="70" spans="1:15" s="106" customFormat="1" ht="15.5" x14ac:dyDescent="0.35">
      <c r="A70" s="163">
        <v>56</v>
      </c>
      <c r="B70" s="97"/>
      <c r="C70" s="98">
        <v>45168</v>
      </c>
      <c r="D70" s="99">
        <v>4800</v>
      </c>
      <c r="E70" s="170">
        <v>4800</v>
      </c>
      <c r="F70" s="158">
        <f>E70-D70</f>
        <v>0</v>
      </c>
      <c r="G70" s="103">
        <v>5043</v>
      </c>
      <c r="H70" s="159">
        <f>D70-G70</f>
        <v>-243</v>
      </c>
      <c r="I70" s="160">
        <f>243*5.85</f>
        <v>1421.55</v>
      </c>
      <c r="J70" s="104"/>
      <c r="K70" s="104">
        <v>0</v>
      </c>
      <c r="L70" s="104">
        <v>0</v>
      </c>
      <c r="M70" s="161"/>
      <c r="N70" s="198">
        <f>F70*M70</f>
        <v>0</v>
      </c>
      <c r="O70" s="105"/>
    </row>
    <row r="71" spans="1:15" ht="15.5" x14ac:dyDescent="0.35">
      <c r="A71" s="254" t="s">
        <v>33</v>
      </c>
      <c r="B71" s="255"/>
      <c r="C71" s="256"/>
      <c r="D71" s="29"/>
      <c r="E71" s="5"/>
      <c r="F71" s="5"/>
      <c r="G71" s="82"/>
      <c r="H71" s="83"/>
      <c r="I71" s="138"/>
      <c r="J71" s="93"/>
      <c r="K71" s="93"/>
      <c r="L71" s="93"/>
      <c r="M71" s="139"/>
      <c r="N71" s="90"/>
      <c r="O71" s="4"/>
    </row>
    <row r="72" spans="1:15" s="106" customFormat="1" ht="18.5" x14ac:dyDescent="0.35">
      <c r="A72" s="156">
        <v>57</v>
      </c>
      <c r="B72" s="97"/>
      <c r="C72" s="98">
        <v>45623</v>
      </c>
      <c r="D72" s="99">
        <f>6210+300+160+120</f>
        <v>6790</v>
      </c>
      <c r="E72" s="192">
        <f>D72</f>
        <v>6790</v>
      </c>
      <c r="F72" s="193">
        <f>E72-D72</f>
        <v>0</v>
      </c>
      <c r="G72" s="103">
        <v>6218</v>
      </c>
      <c r="H72" s="159">
        <f t="shared" ref="H72:H82" si="6">D72-G72</f>
        <v>572</v>
      </c>
      <c r="I72" s="160">
        <v>0</v>
      </c>
      <c r="J72" s="104"/>
      <c r="K72" s="104">
        <v>0</v>
      </c>
      <c r="L72" s="104">
        <v>0</v>
      </c>
      <c r="M72" s="161"/>
      <c r="N72" s="162"/>
      <c r="O72" s="105"/>
    </row>
    <row r="73" spans="1:15" ht="18.5" x14ac:dyDescent="0.35">
      <c r="A73" s="40">
        <v>58</v>
      </c>
      <c r="B73" s="18"/>
      <c r="C73" s="19"/>
      <c r="D73" s="28"/>
      <c r="E73" s="41"/>
      <c r="F73" s="42"/>
      <c r="G73" s="82"/>
      <c r="H73" s="83">
        <f t="shared" si="6"/>
        <v>0</v>
      </c>
      <c r="I73" s="160">
        <v>0</v>
      </c>
      <c r="J73" s="104"/>
      <c r="K73" s="104">
        <v>0</v>
      </c>
      <c r="L73" s="104">
        <v>0</v>
      </c>
      <c r="M73" s="139"/>
      <c r="N73" s="90"/>
      <c r="O73" s="4"/>
    </row>
    <row r="74" spans="1:15" s="106" customFormat="1" ht="18.5" x14ac:dyDescent="0.35">
      <c r="A74" s="156">
        <v>59</v>
      </c>
      <c r="B74" s="97"/>
      <c r="C74" s="98">
        <v>45567</v>
      </c>
      <c r="D74" s="99">
        <v>6850</v>
      </c>
      <c r="E74" s="100">
        <v>6850</v>
      </c>
      <c r="F74" s="193">
        <f>E74-D74</f>
        <v>0</v>
      </c>
      <c r="G74" s="103">
        <v>6864</v>
      </c>
      <c r="H74" s="159">
        <f t="shared" si="6"/>
        <v>-14</v>
      </c>
      <c r="I74" s="160">
        <f>14*5.85</f>
        <v>81.899999999999991</v>
      </c>
      <c r="J74" s="104"/>
      <c r="K74" s="104">
        <v>0</v>
      </c>
      <c r="L74" s="104">
        <v>0</v>
      </c>
      <c r="M74" s="161"/>
      <c r="N74" s="162">
        <f>M74*F74</f>
        <v>0</v>
      </c>
      <c r="O74" s="105"/>
    </row>
    <row r="75" spans="1:15" s="106" customFormat="1" ht="18.5" x14ac:dyDescent="0.35">
      <c r="A75" s="156">
        <v>60</v>
      </c>
      <c r="B75" s="97"/>
      <c r="C75" s="98" t="s">
        <v>134</v>
      </c>
      <c r="D75" s="157">
        <v>6750</v>
      </c>
      <c r="E75" s="100">
        <v>6750</v>
      </c>
      <c r="F75" s="158">
        <f t="shared" ref="F75:F97" si="7">E75-D75</f>
        <v>0</v>
      </c>
      <c r="G75" s="103">
        <v>6807</v>
      </c>
      <c r="H75" s="159">
        <f t="shared" si="6"/>
        <v>-57</v>
      </c>
      <c r="I75" s="160">
        <f>57*5.85</f>
        <v>333.45</v>
      </c>
      <c r="J75" s="104"/>
      <c r="K75" s="104">
        <v>0</v>
      </c>
      <c r="L75" s="104">
        <v>0</v>
      </c>
      <c r="M75" s="161"/>
      <c r="N75" s="162">
        <f>F75*M75</f>
        <v>0</v>
      </c>
      <c r="O75" s="105"/>
    </row>
    <row r="76" spans="1:15" s="106" customFormat="1" ht="18.5" x14ac:dyDescent="0.35">
      <c r="A76" s="156" t="s">
        <v>35</v>
      </c>
      <c r="B76" s="97"/>
      <c r="C76" s="98">
        <v>45617</v>
      </c>
      <c r="D76" s="99">
        <v>6050</v>
      </c>
      <c r="E76" s="100">
        <v>6050</v>
      </c>
      <c r="F76" s="158">
        <f t="shared" si="7"/>
        <v>0</v>
      </c>
      <c r="G76" s="103">
        <v>6048</v>
      </c>
      <c r="H76" s="159">
        <f t="shared" si="6"/>
        <v>2</v>
      </c>
      <c r="I76" s="160">
        <v>0</v>
      </c>
      <c r="J76" s="104"/>
      <c r="K76" s="104">
        <v>0</v>
      </c>
      <c r="L76" s="104">
        <v>0</v>
      </c>
      <c r="M76" s="161"/>
      <c r="N76" s="162"/>
      <c r="O76" s="105"/>
    </row>
    <row r="77" spans="1:15" s="106" customFormat="1" ht="18.5" x14ac:dyDescent="0.35">
      <c r="A77" s="156">
        <v>63</v>
      </c>
      <c r="B77" s="97"/>
      <c r="C77" s="98">
        <v>45597</v>
      </c>
      <c r="D77" s="99">
        <v>9170</v>
      </c>
      <c r="E77" s="100">
        <v>9170</v>
      </c>
      <c r="F77" s="158">
        <f t="shared" si="7"/>
        <v>0</v>
      </c>
      <c r="G77" s="103">
        <v>9218</v>
      </c>
      <c r="H77" s="159">
        <f t="shared" si="6"/>
        <v>-48</v>
      </c>
      <c r="I77" s="160">
        <f>48*5.85</f>
        <v>280.79999999999995</v>
      </c>
      <c r="J77" s="104"/>
      <c r="K77" s="104">
        <v>0</v>
      </c>
      <c r="L77" s="104">
        <v>0</v>
      </c>
      <c r="M77" s="161"/>
      <c r="N77" s="162">
        <f>M77*F77</f>
        <v>0</v>
      </c>
      <c r="O77" s="105"/>
    </row>
    <row r="78" spans="1:15" s="106" customFormat="1" ht="18.5" x14ac:dyDescent="0.35">
      <c r="A78" s="156" t="s">
        <v>36</v>
      </c>
      <c r="B78" s="97"/>
      <c r="C78" s="98">
        <v>45194</v>
      </c>
      <c r="D78" s="99">
        <v>7200</v>
      </c>
      <c r="E78" s="100">
        <v>7200</v>
      </c>
      <c r="F78" s="158">
        <f t="shared" si="7"/>
        <v>0</v>
      </c>
      <c r="G78" s="103">
        <v>7094</v>
      </c>
      <c r="H78" s="159">
        <f t="shared" si="6"/>
        <v>106</v>
      </c>
      <c r="I78" s="160">
        <v>0</v>
      </c>
      <c r="J78" s="104"/>
      <c r="K78" s="104">
        <v>0</v>
      </c>
      <c r="L78" s="104">
        <v>0</v>
      </c>
      <c r="M78" s="161"/>
      <c r="N78" s="162">
        <f>M78*F78</f>
        <v>0</v>
      </c>
      <c r="O78" s="105"/>
    </row>
    <row r="79" spans="1:15" s="106" customFormat="1" ht="18.5" x14ac:dyDescent="0.35">
      <c r="A79" s="156">
        <v>66</v>
      </c>
      <c r="B79" s="97" t="s">
        <v>37</v>
      </c>
      <c r="C79" s="98">
        <v>45733</v>
      </c>
      <c r="D79" s="99">
        <v>57652</v>
      </c>
      <c r="E79" s="100">
        <f>D79</f>
        <v>57652</v>
      </c>
      <c r="F79" s="158">
        <f t="shared" si="7"/>
        <v>0</v>
      </c>
      <c r="G79" s="103">
        <v>58333</v>
      </c>
      <c r="H79" s="159">
        <f t="shared" si="6"/>
        <v>-681</v>
      </c>
      <c r="I79" s="160">
        <f>681*6.28+375*3.4</f>
        <v>5551.68</v>
      </c>
      <c r="J79" s="104"/>
      <c r="K79" s="104">
        <v>0</v>
      </c>
      <c r="L79" s="104">
        <v>0</v>
      </c>
      <c r="M79" s="161"/>
      <c r="N79" s="162"/>
      <c r="O79" s="105"/>
    </row>
    <row r="80" spans="1:15" ht="18.5" x14ac:dyDescent="0.35">
      <c r="A80" s="39">
        <v>66</v>
      </c>
      <c r="B80" s="9" t="s">
        <v>38</v>
      </c>
      <c r="C80" s="10">
        <v>45733</v>
      </c>
      <c r="D80" s="11">
        <v>27833</v>
      </c>
      <c r="E80" s="24">
        <f>D80</f>
        <v>27833</v>
      </c>
      <c r="F80" s="6">
        <f t="shared" si="7"/>
        <v>0</v>
      </c>
      <c r="G80" s="82">
        <v>28208</v>
      </c>
      <c r="H80" s="83">
        <f t="shared" si="6"/>
        <v>-375</v>
      </c>
      <c r="I80" s="138"/>
      <c r="J80" s="93"/>
      <c r="K80" s="93"/>
      <c r="L80" s="93"/>
      <c r="M80" s="139"/>
      <c r="N80" s="90"/>
      <c r="O80" s="4"/>
    </row>
    <row r="81" spans="1:17" s="106" customFormat="1" ht="18.5" x14ac:dyDescent="0.35">
      <c r="A81" s="156" t="s">
        <v>39</v>
      </c>
      <c r="B81" s="97"/>
      <c r="C81" s="98">
        <v>45615</v>
      </c>
      <c r="D81" s="157">
        <v>6387</v>
      </c>
      <c r="E81" s="100">
        <v>6387</v>
      </c>
      <c r="F81" s="158">
        <f t="shared" si="7"/>
        <v>0</v>
      </c>
      <c r="G81" s="103">
        <v>6700</v>
      </c>
      <c r="H81" s="159">
        <f t="shared" si="6"/>
        <v>-313</v>
      </c>
      <c r="I81" s="160">
        <f>313*5.85</f>
        <v>1831.05</v>
      </c>
      <c r="J81" s="104"/>
      <c r="K81" s="104">
        <v>0</v>
      </c>
      <c r="L81" s="104">
        <v>0</v>
      </c>
      <c r="M81" s="161"/>
      <c r="N81" s="162"/>
      <c r="O81" s="105"/>
    </row>
    <row r="82" spans="1:17" s="106" customFormat="1" ht="18.5" x14ac:dyDescent="0.35">
      <c r="A82" s="156">
        <v>69</v>
      </c>
      <c r="B82" s="97"/>
      <c r="C82" s="98">
        <v>44816</v>
      </c>
      <c r="D82" s="99">
        <v>7340</v>
      </c>
      <c r="E82" s="100">
        <v>7340</v>
      </c>
      <c r="F82" s="158">
        <f t="shared" si="7"/>
        <v>0</v>
      </c>
      <c r="G82" s="103">
        <v>7831</v>
      </c>
      <c r="H82" s="159">
        <f t="shared" si="6"/>
        <v>-491</v>
      </c>
      <c r="I82" s="160">
        <f>491*5.85</f>
        <v>2872.35</v>
      </c>
      <c r="J82" s="104"/>
      <c r="K82" s="104">
        <v>0</v>
      </c>
      <c r="L82" s="104">
        <v>0</v>
      </c>
      <c r="M82" s="161"/>
      <c r="N82" s="162"/>
      <c r="O82" s="105"/>
    </row>
    <row r="83" spans="1:17" ht="18.5" x14ac:dyDescent="0.35">
      <c r="A83" s="39">
        <v>69</v>
      </c>
      <c r="B83" s="9" t="s">
        <v>16</v>
      </c>
      <c r="C83" s="10">
        <v>44816</v>
      </c>
      <c r="D83" s="11">
        <v>9012</v>
      </c>
      <c r="E83" s="24"/>
      <c r="F83" s="6"/>
      <c r="G83" s="82"/>
      <c r="H83" s="83"/>
      <c r="I83" s="138"/>
      <c r="J83" s="93"/>
      <c r="K83" s="93"/>
      <c r="L83" s="93"/>
      <c r="M83" s="139"/>
      <c r="N83" s="90"/>
      <c r="O83" s="4"/>
    </row>
    <row r="84" spans="1:17" ht="18.5" x14ac:dyDescent="0.35">
      <c r="A84" s="39">
        <v>69</v>
      </c>
      <c r="B84" s="9" t="s">
        <v>29</v>
      </c>
      <c r="C84" s="10">
        <v>44816</v>
      </c>
      <c r="D84" s="11">
        <v>3253</v>
      </c>
      <c r="E84" s="24"/>
      <c r="F84" s="6"/>
      <c r="G84" s="82"/>
      <c r="H84" s="83"/>
      <c r="I84" s="138"/>
      <c r="J84" s="93"/>
      <c r="K84" s="93"/>
      <c r="L84" s="93"/>
      <c r="M84" s="139"/>
      <c r="N84" s="90"/>
      <c r="O84" s="4"/>
    </row>
    <row r="85" spans="1:17" ht="18.5" x14ac:dyDescent="0.35">
      <c r="A85" s="43">
        <v>71</v>
      </c>
      <c r="B85" s="18"/>
      <c r="C85" s="44">
        <v>45084</v>
      </c>
      <c r="D85" s="45"/>
      <c r="E85" s="46"/>
      <c r="F85" s="47"/>
      <c r="G85" s="82"/>
      <c r="H85" s="83"/>
      <c r="I85" s="160">
        <v>0</v>
      </c>
      <c r="J85" s="104"/>
      <c r="K85" s="104">
        <v>0</v>
      </c>
      <c r="L85" s="104">
        <v>0</v>
      </c>
      <c r="M85" s="140"/>
      <c r="N85" s="130"/>
      <c r="O85" s="48"/>
    </row>
    <row r="86" spans="1:17" s="106" customFormat="1" ht="18.5" x14ac:dyDescent="0.35">
      <c r="A86" s="156">
        <v>72</v>
      </c>
      <c r="B86" s="97"/>
      <c r="C86" s="98">
        <v>45622</v>
      </c>
      <c r="D86" s="157">
        <v>7377</v>
      </c>
      <c r="E86" s="100">
        <v>7377</v>
      </c>
      <c r="F86" s="158">
        <f t="shared" si="7"/>
        <v>0</v>
      </c>
      <c r="G86" s="103">
        <v>7225</v>
      </c>
      <c r="H86" s="159">
        <f t="shared" ref="H86:H97" si="8">D86-G86</f>
        <v>152</v>
      </c>
      <c r="I86" s="160">
        <v>58</v>
      </c>
      <c r="J86" s="104"/>
      <c r="K86" s="104">
        <v>0</v>
      </c>
      <c r="L86" s="104">
        <v>0</v>
      </c>
      <c r="M86" s="161"/>
      <c r="N86" s="162"/>
      <c r="O86" s="105"/>
    </row>
    <row r="87" spans="1:17" s="106" customFormat="1" ht="18.5" x14ac:dyDescent="0.35">
      <c r="A87" s="156" t="s">
        <v>40</v>
      </c>
      <c r="B87" s="97"/>
      <c r="C87" s="98">
        <v>45468</v>
      </c>
      <c r="D87" s="99">
        <v>1475</v>
      </c>
      <c r="E87" s="100">
        <v>1475</v>
      </c>
      <c r="F87" s="158">
        <f t="shared" si="7"/>
        <v>0</v>
      </c>
      <c r="G87" s="103">
        <v>1400</v>
      </c>
      <c r="H87" s="159">
        <f t="shared" si="8"/>
        <v>75</v>
      </c>
      <c r="I87" s="160"/>
      <c r="J87" s="104">
        <v>78.900000000000006</v>
      </c>
      <c r="K87" s="104">
        <v>300</v>
      </c>
      <c r="L87" s="104">
        <v>0</v>
      </c>
      <c r="M87" s="161"/>
      <c r="N87" s="162"/>
      <c r="O87" s="105"/>
    </row>
    <row r="88" spans="1:17" s="106" customFormat="1" ht="18.5" x14ac:dyDescent="0.35">
      <c r="A88" s="156">
        <v>75</v>
      </c>
      <c r="B88" s="97"/>
      <c r="C88" s="98">
        <v>45487</v>
      </c>
      <c r="D88" s="157">
        <v>4823</v>
      </c>
      <c r="E88" s="100">
        <v>4823</v>
      </c>
      <c r="F88" s="158">
        <f t="shared" si="7"/>
        <v>0</v>
      </c>
      <c r="G88" s="103">
        <v>4823</v>
      </c>
      <c r="H88" s="159">
        <f t="shared" si="8"/>
        <v>0</v>
      </c>
      <c r="I88" s="160">
        <v>0</v>
      </c>
      <c r="J88" s="104"/>
      <c r="K88" s="104">
        <v>0</v>
      </c>
      <c r="L88" s="104">
        <v>0</v>
      </c>
      <c r="M88" s="161"/>
      <c r="N88" s="162"/>
      <c r="O88" s="105"/>
    </row>
    <row r="89" spans="1:17" s="106" customFormat="1" ht="18.5" x14ac:dyDescent="0.35">
      <c r="A89" s="156">
        <v>76</v>
      </c>
      <c r="B89" s="97"/>
      <c r="C89" s="98">
        <v>45807</v>
      </c>
      <c r="D89" s="157">
        <f>183+21558</f>
        <v>21741</v>
      </c>
      <c r="E89" s="100" t="s">
        <v>130</v>
      </c>
      <c r="F89" s="158" t="e">
        <f t="shared" si="7"/>
        <v>#VALUE!</v>
      </c>
      <c r="G89" s="103">
        <v>21558</v>
      </c>
      <c r="H89" s="159">
        <f t="shared" si="8"/>
        <v>183</v>
      </c>
      <c r="I89" s="160">
        <v>0</v>
      </c>
      <c r="J89" s="104"/>
      <c r="K89" s="104">
        <v>0</v>
      </c>
      <c r="L89" s="104">
        <v>0</v>
      </c>
      <c r="M89" s="161"/>
      <c r="N89" s="162" t="e">
        <f>F89*M89</f>
        <v>#VALUE!</v>
      </c>
      <c r="O89" s="105"/>
      <c r="P89" s="106">
        <f>I89/5.85</f>
        <v>0</v>
      </c>
    </row>
    <row r="90" spans="1:17" s="106" customFormat="1" ht="18.5" x14ac:dyDescent="0.35">
      <c r="A90" s="156">
        <v>77</v>
      </c>
      <c r="B90" s="97"/>
      <c r="C90" s="98">
        <v>45471</v>
      </c>
      <c r="D90" s="99">
        <v>7631</v>
      </c>
      <c r="E90" s="100">
        <v>7631</v>
      </c>
      <c r="F90" s="158">
        <f t="shared" si="7"/>
        <v>0</v>
      </c>
      <c r="G90" s="103">
        <v>8082</v>
      </c>
      <c r="H90" s="159">
        <f t="shared" si="8"/>
        <v>-451</v>
      </c>
      <c r="I90" s="160">
        <f>451*5.85</f>
        <v>2638.35</v>
      </c>
      <c r="J90" s="104"/>
      <c r="K90" s="104">
        <v>0</v>
      </c>
      <c r="L90" s="104">
        <v>0</v>
      </c>
      <c r="M90" s="161"/>
      <c r="N90" s="162"/>
      <c r="O90" s="105"/>
    </row>
    <row r="91" spans="1:17" s="106" customFormat="1" ht="18.5" x14ac:dyDescent="0.35">
      <c r="A91" s="156">
        <v>78</v>
      </c>
      <c r="B91" s="97"/>
      <c r="C91" s="98">
        <v>45474</v>
      </c>
      <c r="D91" s="99">
        <f>12213+500</f>
        <v>12713</v>
      </c>
      <c r="E91" s="100">
        <v>12713</v>
      </c>
      <c r="F91" s="158"/>
      <c r="G91" s="103">
        <v>13935</v>
      </c>
      <c r="H91" s="159">
        <f t="shared" si="8"/>
        <v>-1222</v>
      </c>
      <c r="I91" s="160">
        <f>1222*5.85</f>
        <v>7148.7</v>
      </c>
      <c r="J91" s="104"/>
      <c r="K91" s="104">
        <v>0</v>
      </c>
      <c r="L91" s="104">
        <v>0</v>
      </c>
      <c r="M91" s="161"/>
      <c r="N91" s="162"/>
      <c r="O91" s="105"/>
    </row>
    <row r="92" spans="1:17" ht="18.5" x14ac:dyDescent="0.35">
      <c r="A92" s="40">
        <v>79</v>
      </c>
      <c r="B92" s="18"/>
      <c r="C92" s="19"/>
      <c r="D92" s="28"/>
      <c r="E92" s="49"/>
      <c r="F92" s="22"/>
      <c r="G92" s="82"/>
      <c r="H92" s="83">
        <f t="shared" si="8"/>
        <v>0</v>
      </c>
      <c r="I92" s="160">
        <v>0</v>
      </c>
      <c r="J92" s="104"/>
      <c r="K92" s="104">
        <v>0</v>
      </c>
      <c r="L92" s="104">
        <v>0</v>
      </c>
      <c r="M92" s="139"/>
      <c r="N92" s="90"/>
      <c r="O92" s="4"/>
    </row>
    <row r="93" spans="1:17" s="106" customFormat="1" ht="18.5" x14ac:dyDescent="0.35">
      <c r="A93" s="156">
        <v>80</v>
      </c>
      <c r="B93" s="97"/>
      <c r="C93" s="98">
        <v>45363</v>
      </c>
      <c r="D93" s="99">
        <v>13000</v>
      </c>
      <c r="E93" s="100">
        <v>13000</v>
      </c>
      <c r="F93" s="158">
        <f t="shared" si="7"/>
        <v>0</v>
      </c>
      <c r="G93" s="103">
        <v>13186</v>
      </c>
      <c r="H93" s="159">
        <f t="shared" si="8"/>
        <v>-186</v>
      </c>
      <c r="I93" s="160">
        <f>186*5.85</f>
        <v>1088.0999999999999</v>
      </c>
      <c r="J93" s="104">
        <v>78.900000000000006</v>
      </c>
      <c r="K93" s="104">
        <v>300</v>
      </c>
      <c r="L93" s="104">
        <v>0</v>
      </c>
      <c r="M93" s="161"/>
      <c r="N93" s="162"/>
      <c r="O93" s="105"/>
    </row>
    <row r="94" spans="1:17" s="106" customFormat="1" ht="18.5" x14ac:dyDescent="0.35">
      <c r="A94" s="156">
        <v>81</v>
      </c>
      <c r="B94" s="97" t="s">
        <v>41</v>
      </c>
      <c r="C94" s="98">
        <v>45553</v>
      </c>
      <c r="D94" s="99">
        <v>1111</v>
      </c>
      <c r="E94" s="100">
        <v>1111</v>
      </c>
      <c r="F94" s="158">
        <f t="shared" si="7"/>
        <v>0</v>
      </c>
      <c r="G94" s="103">
        <v>1111</v>
      </c>
      <c r="H94" s="159">
        <f t="shared" si="8"/>
        <v>0</v>
      </c>
      <c r="I94" s="160">
        <v>0</v>
      </c>
      <c r="J94" s="104"/>
      <c r="K94" s="104">
        <v>0</v>
      </c>
      <c r="L94" s="104">
        <v>0</v>
      </c>
      <c r="M94" s="161"/>
      <c r="N94" s="162">
        <f>M94*F94</f>
        <v>0</v>
      </c>
      <c r="O94" s="105"/>
    </row>
    <row r="95" spans="1:17" ht="18.5" x14ac:dyDescent="0.35">
      <c r="A95" s="39">
        <v>81</v>
      </c>
      <c r="B95" s="9" t="s">
        <v>42</v>
      </c>
      <c r="C95" s="10">
        <v>45553</v>
      </c>
      <c r="D95" s="11">
        <v>843</v>
      </c>
      <c r="E95" s="24">
        <v>843</v>
      </c>
      <c r="F95" s="6">
        <f t="shared" si="7"/>
        <v>0</v>
      </c>
      <c r="G95" s="82">
        <v>843</v>
      </c>
      <c r="H95" s="83">
        <f t="shared" si="8"/>
        <v>0</v>
      </c>
      <c r="I95" s="138"/>
      <c r="J95" s="93"/>
      <c r="K95" s="93"/>
      <c r="L95" s="93"/>
      <c r="M95" s="139"/>
      <c r="N95" s="90">
        <f>F95*M95</f>
        <v>0</v>
      </c>
      <c r="O95" s="4">
        <f>N95+N94</f>
        <v>0</v>
      </c>
    </row>
    <row r="96" spans="1:17" s="106" customFormat="1" ht="18.5" x14ac:dyDescent="0.35">
      <c r="A96" s="156">
        <v>82</v>
      </c>
      <c r="B96" s="97"/>
      <c r="C96" s="98">
        <v>45562</v>
      </c>
      <c r="D96" s="157">
        <v>13628</v>
      </c>
      <c r="E96" s="100">
        <v>13628</v>
      </c>
      <c r="F96" s="158">
        <f>E96-D96</f>
        <v>0</v>
      </c>
      <c r="G96" s="103">
        <v>13230</v>
      </c>
      <c r="H96" s="159">
        <f t="shared" si="8"/>
        <v>398</v>
      </c>
      <c r="I96" s="160">
        <v>0</v>
      </c>
      <c r="J96" s="104">
        <f>(K96+L96)*0.263</f>
        <v>289.3</v>
      </c>
      <c r="K96" s="104">
        <v>300</v>
      </c>
      <c r="L96" s="104">
        <v>800</v>
      </c>
      <c r="M96" s="161"/>
      <c r="N96" s="162"/>
      <c r="O96" s="105">
        <f>M96*F96</f>
        <v>0</v>
      </c>
      <c r="Q96" s="106">
        <f>P96/5.38</f>
        <v>0</v>
      </c>
    </row>
    <row r="97" spans="1:15" s="106" customFormat="1" ht="18.5" x14ac:dyDescent="0.35">
      <c r="A97" s="156">
        <v>83</v>
      </c>
      <c r="B97" s="97" t="s">
        <v>28</v>
      </c>
      <c r="C97" s="98">
        <v>44823</v>
      </c>
      <c r="D97" s="99">
        <v>4834</v>
      </c>
      <c r="E97" s="100">
        <v>4834</v>
      </c>
      <c r="F97" s="158">
        <f t="shared" si="7"/>
        <v>0</v>
      </c>
      <c r="G97" s="103">
        <v>4841</v>
      </c>
      <c r="H97" s="159">
        <f t="shared" si="8"/>
        <v>-7</v>
      </c>
      <c r="I97" s="160">
        <f>7*5.85</f>
        <v>40.949999999999996</v>
      </c>
      <c r="J97" s="104"/>
      <c r="K97" s="104">
        <v>0</v>
      </c>
      <c r="L97" s="104">
        <v>0</v>
      </c>
      <c r="M97" s="161"/>
      <c r="N97" s="162"/>
      <c r="O97" s="105"/>
    </row>
    <row r="98" spans="1:15" s="106" customFormat="1" ht="17.5" customHeight="1" x14ac:dyDescent="0.35">
      <c r="A98" s="156">
        <v>84</v>
      </c>
      <c r="B98" s="97"/>
      <c r="C98" s="98">
        <v>45222</v>
      </c>
      <c r="D98" s="99">
        <v>3424</v>
      </c>
      <c r="E98" s="100">
        <v>3424</v>
      </c>
      <c r="F98" s="158">
        <f t="shared" ref="F98:F103" si="9">E98-D98</f>
        <v>0</v>
      </c>
      <c r="G98" s="103">
        <v>3434</v>
      </c>
      <c r="H98" s="159">
        <f t="shared" ref="H98:H104" si="10">D98-G98</f>
        <v>-10</v>
      </c>
      <c r="I98" s="160">
        <v>58.5</v>
      </c>
      <c r="J98" s="104"/>
      <c r="K98" s="104">
        <v>0</v>
      </c>
      <c r="L98" s="104">
        <v>0</v>
      </c>
      <c r="M98" s="161"/>
      <c r="N98" s="162"/>
      <c r="O98" s="105"/>
    </row>
    <row r="99" spans="1:15" s="106" customFormat="1" ht="18.5" x14ac:dyDescent="0.35">
      <c r="A99" s="156">
        <v>85</v>
      </c>
      <c r="B99" s="97" t="s">
        <v>43</v>
      </c>
      <c r="C99" s="98">
        <v>45792</v>
      </c>
      <c r="D99" s="157">
        <v>1225</v>
      </c>
      <c r="E99" s="100">
        <v>1225</v>
      </c>
      <c r="F99" s="158">
        <f t="shared" si="9"/>
        <v>0</v>
      </c>
      <c r="G99" s="103">
        <v>1155</v>
      </c>
      <c r="H99" s="159">
        <f t="shared" si="10"/>
        <v>70</v>
      </c>
      <c r="I99" s="160">
        <v>0</v>
      </c>
      <c r="J99" s="104"/>
      <c r="K99" s="104">
        <v>0</v>
      </c>
      <c r="L99" s="104">
        <v>0</v>
      </c>
      <c r="M99" s="161"/>
      <c r="N99" s="162">
        <f>F99*M99</f>
        <v>0</v>
      </c>
      <c r="O99" s="105"/>
    </row>
    <row r="100" spans="1:15" ht="18.5" x14ac:dyDescent="0.35">
      <c r="A100" s="40" t="s">
        <v>44</v>
      </c>
      <c r="B100" s="18"/>
      <c r="C100" s="19"/>
      <c r="D100" s="36"/>
      <c r="E100" s="49"/>
      <c r="F100" s="22"/>
      <c r="G100" s="82"/>
      <c r="H100" s="83">
        <f t="shared" si="10"/>
        <v>0</v>
      </c>
      <c r="I100" s="160">
        <v>0</v>
      </c>
      <c r="J100" s="104"/>
      <c r="K100" s="104">
        <v>0</v>
      </c>
      <c r="L100" s="104">
        <v>0</v>
      </c>
      <c r="M100" s="139"/>
      <c r="N100" s="90"/>
      <c r="O100" s="4"/>
    </row>
    <row r="101" spans="1:15" s="106" customFormat="1" ht="18.5" x14ac:dyDescent="0.35">
      <c r="A101" s="156">
        <v>88</v>
      </c>
      <c r="B101" s="97"/>
      <c r="C101" s="98">
        <v>45803</v>
      </c>
      <c r="D101" s="157">
        <f>8871+600</f>
        <v>9471</v>
      </c>
      <c r="E101" s="100">
        <f>D101</f>
        <v>9471</v>
      </c>
      <c r="F101" s="158">
        <f t="shared" si="9"/>
        <v>0</v>
      </c>
      <c r="G101" s="103">
        <v>9457</v>
      </c>
      <c r="H101" s="159">
        <f t="shared" si="10"/>
        <v>14</v>
      </c>
      <c r="I101" s="160">
        <v>0</v>
      </c>
      <c r="J101" s="104"/>
      <c r="K101" s="104">
        <v>0</v>
      </c>
      <c r="L101" s="104">
        <v>0</v>
      </c>
      <c r="M101" s="161"/>
      <c r="N101" s="162">
        <f>F101*M101</f>
        <v>0</v>
      </c>
      <c r="O101" s="105"/>
    </row>
    <row r="102" spans="1:15" s="116" customFormat="1" ht="18.5" x14ac:dyDescent="0.35">
      <c r="A102" s="107">
        <v>89</v>
      </c>
      <c r="B102" s="108"/>
      <c r="C102" s="109">
        <v>45817</v>
      </c>
      <c r="D102" s="110">
        <f>22380+1709</f>
        <v>24089</v>
      </c>
      <c r="E102" s="111">
        <f>D102</f>
        <v>24089</v>
      </c>
      <c r="F102" s="112">
        <f t="shared" si="9"/>
        <v>0</v>
      </c>
      <c r="G102" s="113">
        <v>24947</v>
      </c>
      <c r="H102" s="125">
        <f t="shared" si="10"/>
        <v>-858</v>
      </c>
      <c r="I102" s="141">
        <f>858*5.85</f>
        <v>5019.2999999999993</v>
      </c>
      <c r="J102" s="114"/>
      <c r="K102" s="114">
        <v>0</v>
      </c>
      <c r="L102" s="114">
        <v>0</v>
      </c>
      <c r="M102" s="142"/>
      <c r="N102" s="131">
        <f>M102*F102</f>
        <v>0</v>
      </c>
      <c r="O102" s="115"/>
    </row>
    <row r="103" spans="1:15" s="106" customFormat="1" ht="18.5" x14ac:dyDescent="0.35">
      <c r="A103" s="156">
        <v>90</v>
      </c>
      <c r="B103" s="200"/>
      <c r="C103" s="229">
        <v>45474</v>
      </c>
      <c r="D103" s="230">
        <v>7611</v>
      </c>
      <c r="E103" s="100">
        <v>7611</v>
      </c>
      <c r="F103" s="158">
        <f t="shared" si="9"/>
        <v>0</v>
      </c>
      <c r="G103" s="103">
        <v>8060</v>
      </c>
      <c r="H103" s="159">
        <f t="shared" si="10"/>
        <v>-449</v>
      </c>
      <c r="I103" s="160">
        <f>449*5.85</f>
        <v>2626.6499999999996</v>
      </c>
      <c r="J103" s="104">
        <f>(K103+L103)*0.263</f>
        <v>2524.8000000000002</v>
      </c>
      <c r="K103" s="104">
        <v>300</v>
      </c>
      <c r="L103" s="104">
        <v>9300</v>
      </c>
      <c r="M103" s="161"/>
      <c r="N103" s="162">
        <f>F103*M103</f>
        <v>0</v>
      </c>
      <c r="O103" s="105"/>
    </row>
    <row r="104" spans="1:15" ht="18.5" x14ac:dyDescent="0.35">
      <c r="A104" s="50">
        <v>91</v>
      </c>
      <c r="B104" s="18"/>
      <c r="C104" s="51" t="s">
        <v>104</v>
      </c>
      <c r="D104" s="36"/>
      <c r="E104" s="49"/>
      <c r="F104" s="22"/>
      <c r="G104" s="82"/>
      <c r="H104" s="83">
        <f t="shared" si="10"/>
        <v>0</v>
      </c>
      <c r="I104" s="160">
        <v>0</v>
      </c>
      <c r="J104" s="104">
        <f>L104*0.263</f>
        <v>526</v>
      </c>
      <c r="K104" s="104">
        <v>0</v>
      </c>
      <c r="L104" s="104">
        <v>2000</v>
      </c>
      <c r="M104" s="139"/>
      <c r="N104" s="90">
        <f>F104*M104</f>
        <v>0</v>
      </c>
      <c r="O104" s="4"/>
    </row>
    <row r="105" spans="1:15" ht="18.5" x14ac:dyDescent="0.35">
      <c r="A105" s="52">
        <v>92</v>
      </c>
      <c r="B105" s="9">
        <v>16204</v>
      </c>
      <c r="C105" s="10">
        <v>45485</v>
      </c>
      <c r="D105" s="27">
        <v>23243</v>
      </c>
      <c r="E105" s="24">
        <v>23243</v>
      </c>
      <c r="F105" s="6">
        <f t="shared" ref="F105:F109" si="11">E105-D105</f>
        <v>0</v>
      </c>
      <c r="G105" s="82"/>
      <c r="H105" s="83"/>
      <c r="I105" s="138"/>
      <c r="J105" s="93"/>
      <c r="K105" s="93"/>
      <c r="L105" s="93"/>
      <c r="M105" s="139"/>
      <c r="N105" s="90">
        <f>F105*M105</f>
        <v>0</v>
      </c>
      <c r="O105" s="4"/>
    </row>
    <row r="106" spans="1:15" ht="18.5" x14ac:dyDescent="0.35">
      <c r="A106" s="39">
        <v>92</v>
      </c>
      <c r="B106" s="9" t="s">
        <v>45</v>
      </c>
      <c r="C106" s="10">
        <v>45486</v>
      </c>
      <c r="D106" s="13">
        <v>14845</v>
      </c>
      <c r="E106" s="24">
        <f>D106</f>
        <v>14845</v>
      </c>
      <c r="F106" s="6">
        <f t="shared" si="11"/>
        <v>0</v>
      </c>
      <c r="G106" s="82"/>
      <c r="H106" s="83"/>
      <c r="I106" s="138"/>
      <c r="J106" s="93"/>
      <c r="K106" s="93"/>
      <c r="L106" s="93"/>
      <c r="M106" s="139"/>
      <c r="N106" s="90">
        <f>F106*M106</f>
        <v>0</v>
      </c>
      <c r="O106" s="4">
        <f>N105+N106</f>
        <v>0</v>
      </c>
    </row>
    <row r="107" spans="1:15" s="106" customFormat="1" ht="18.5" x14ac:dyDescent="0.35">
      <c r="A107" s="156">
        <v>92</v>
      </c>
      <c r="B107" s="97" t="s">
        <v>28</v>
      </c>
      <c r="C107" s="98">
        <v>45487</v>
      </c>
      <c r="D107" s="157">
        <v>38439</v>
      </c>
      <c r="E107" s="100">
        <f>D107</f>
        <v>38439</v>
      </c>
      <c r="F107" s="158">
        <f t="shared" si="11"/>
        <v>0</v>
      </c>
      <c r="G107" s="103">
        <v>38097</v>
      </c>
      <c r="H107" s="159">
        <f>D107-G107</f>
        <v>342</v>
      </c>
      <c r="I107" s="160">
        <v>0</v>
      </c>
      <c r="J107" s="104">
        <v>78.900000000000006</v>
      </c>
      <c r="K107" s="104">
        <v>300</v>
      </c>
      <c r="L107" s="104">
        <v>0</v>
      </c>
      <c r="M107" s="161"/>
      <c r="N107" s="162">
        <f>F107*M107</f>
        <v>0</v>
      </c>
      <c r="O107" s="105"/>
    </row>
    <row r="108" spans="1:15" s="106" customFormat="1" ht="18.5" x14ac:dyDescent="0.35">
      <c r="A108" s="156">
        <v>93</v>
      </c>
      <c r="B108" s="97" t="s">
        <v>46</v>
      </c>
      <c r="C108" s="98">
        <v>45663</v>
      </c>
      <c r="D108" s="99">
        <v>60350</v>
      </c>
      <c r="E108" s="158">
        <v>60350</v>
      </c>
      <c r="F108" s="158">
        <f t="shared" si="11"/>
        <v>0</v>
      </c>
      <c r="G108" s="103">
        <v>51533</v>
      </c>
      <c r="H108" s="159">
        <f>D108-G108</f>
        <v>8817</v>
      </c>
      <c r="I108" s="160">
        <v>0</v>
      </c>
      <c r="J108" s="104">
        <v>78.900000000000006</v>
      </c>
      <c r="K108" s="104">
        <v>300</v>
      </c>
      <c r="L108" s="104">
        <v>0</v>
      </c>
      <c r="M108" s="161"/>
      <c r="N108" s="162">
        <f>F108*6.28</f>
        <v>0</v>
      </c>
      <c r="O108" s="105"/>
    </row>
    <row r="109" spans="1:15" ht="18.5" x14ac:dyDescent="0.35">
      <c r="A109" s="39">
        <v>93</v>
      </c>
      <c r="B109" s="9" t="s">
        <v>47</v>
      </c>
      <c r="C109" s="10">
        <v>45663</v>
      </c>
      <c r="D109" s="11">
        <v>32050</v>
      </c>
      <c r="E109" s="24">
        <v>32050</v>
      </c>
      <c r="F109" s="6">
        <f t="shared" si="11"/>
        <v>0</v>
      </c>
      <c r="G109" s="89">
        <v>28050</v>
      </c>
      <c r="H109" s="127">
        <f>D109-G109</f>
        <v>4000</v>
      </c>
      <c r="I109" s="138"/>
      <c r="J109" s="93"/>
      <c r="K109" s="93"/>
      <c r="L109" s="93"/>
      <c r="M109" s="139"/>
      <c r="N109" s="90">
        <f>F109*3.4</f>
        <v>0</v>
      </c>
      <c r="O109" s="4">
        <f>N109+N108</f>
        <v>0</v>
      </c>
    </row>
    <row r="110" spans="1:15" s="106" customFormat="1" ht="18.5" x14ac:dyDescent="0.35">
      <c r="A110" s="210">
        <v>94</v>
      </c>
      <c r="B110" s="185"/>
      <c r="C110" s="211" t="s">
        <v>116</v>
      </c>
      <c r="D110" s="99"/>
      <c r="E110" s="100"/>
      <c r="F110" s="158"/>
      <c r="G110" s="103"/>
      <c r="H110" s="159"/>
      <c r="I110" s="160">
        <v>0</v>
      </c>
      <c r="J110" s="104">
        <v>78.900000000000006</v>
      </c>
      <c r="K110" s="104">
        <v>300</v>
      </c>
      <c r="L110" s="104">
        <v>0</v>
      </c>
      <c r="M110" s="161"/>
      <c r="N110" s="162"/>
      <c r="O110" s="105"/>
    </row>
    <row r="111" spans="1:15" ht="15.5" x14ac:dyDescent="0.35">
      <c r="A111" s="254" t="s">
        <v>48</v>
      </c>
      <c r="B111" s="255"/>
      <c r="C111" s="256"/>
      <c r="D111" s="29" t="s">
        <v>27</v>
      </c>
      <c r="E111" s="5">
        <v>44901</v>
      </c>
      <c r="F111" s="6"/>
      <c r="G111" s="82"/>
      <c r="H111" s="83"/>
      <c r="I111" s="138"/>
      <c r="J111" s="93"/>
      <c r="K111" s="93"/>
      <c r="L111" s="93"/>
      <c r="M111" s="139"/>
      <c r="N111" s="90"/>
      <c r="O111" s="4"/>
    </row>
    <row r="112" spans="1:15" s="106" customFormat="1" ht="15.5" x14ac:dyDescent="0.35">
      <c r="A112" s="205">
        <v>95</v>
      </c>
      <c r="B112" s="206"/>
      <c r="C112" s="207" t="s">
        <v>116</v>
      </c>
      <c r="D112" s="208"/>
      <c r="E112" s="209"/>
      <c r="F112" s="158"/>
      <c r="G112" s="103"/>
      <c r="H112" s="159"/>
      <c r="I112" s="160">
        <v>0</v>
      </c>
      <c r="J112" s="104">
        <v>78.900000000000006</v>
      </c>
      <c r="K112" s="104">
        <v>0</v>
      </c>
      <c r="L112" s="104">
        <v>300</v>
      </c>
      <c r="M112" s="161"/>
      <c r="N112" s="162"/>
      <c r="O112" s="105"/>
    </row>
    <row r="113" spans="1:15" s="106" customFormat="1" ht="18.5" x14ac:dyDescent="0.45">
      <c r="A113" s="164">
        <v>96</v>
      </c>
      <c r="B113" s="97"/>
      <c r="C113" s="98">
        <v>45622</v>
      </c>
      <c r="D113" s="99">
        <v>6489</v>
      </c>
      <c r="E113" s="100">
        <v>6489</v>
      </c>
      <c r="F113" s="158">
        <f t="shared" ref="F113:F126" si="12">E113-D113</f>
        <v>0</v>
      </c>
      <c r="G113" s="103">
        <v>5988</v>
      </c>
      <c r="H113" s="159">
        <f t="shared" ref="H113:H122" si="13">D113-G113</f>
        <v>501</v>
      </c>
      <c r="I113" s="160">
        <v>0</v>
      </c>
      <c r="J113" s="104"/>
      <c r="K113" s="104">
        <v>0</v>
      </c>
      <c r="L113" s="104">
        <v>0</v>
      </c>
      <c r="M113" s="161"/>
      <c r="N113" s="162"/>
      <c r="O113" s="105"/>
    </row>
    <row r="114" spans="1:15" s="106" customFormat="1" ht="18.5" x14ac:dyDescent="0.45">
      <c r="A114" s="164">
        <v>97</v>
      </c>
      <c r="B114" s="97"/>
      <c r="C114" s="98">
        <v>45568</v>
      </c>
      <c r="D114" s="99">
        <v>8500</v>
      </c>
      <c r="E114" s="100">
        <v>8500</v>
      </c>
      <c r="F114" s="158">
        <f t="shared" si="12"/>
        <v>0</v>
      </c>
      <c r="G114" s="103">
        <v>8634</v>
      </c>
      <c r="H114" s="159">
        <f t="shared" si="13"/>
        <v>-134</v>
      </c>
      <c r="I114" s="160">
        <f>134*5.85</f>
        <v>783.9</v>
      </c>
      <c r="J114" s="104"/>
      <c r="K114" s="104">
        <v>0</v>
      </c>
      <c r="L114" s="104">
        <v>0</v>
      </c>
      <c r="M114" s="161"/>
      <c r="N114" s="162">
        <f>M114*F114</f>
        <v>0</v>
      </c>
      <c r="O114" s="105"/>
    </row>
    <row r="115" spans="1:15" s="106" customFormat="1" ht="18.5" x14ac:dyDescent="0.45">
      <c r="A115" s="164">
        <v>98</v>
      </c>
      <c r="B115" s="97"/>
      <c r="C115" s="98">
        <v>45607</v>
      </c>
      <c r="D115" s="99">
        <f>25369-1641</f>
        <v>23728</v>
      </c>
      <c r="E115" s="192">
        <f>25369-1641</f>
        <v>23728</v>
      </c>
      <c r="F115" s="158">
        <f t="shared" si="12"/>
        <v>0</v>
      </c>
      <c r="G115" s="103">
        <v>18092</v>
      </c>
      <c r="H115" s="159">
        <f t="shared" si="13"/>
        <v>5636</v>
      </c>
      <c r="I115" s="160">
        <v>0</v>
      </c>
      <c r="J115" s="104"/>
      <c r="K115" s="104">
        <v>0</v>
      </c>
      <c r="L115" s="104">
        <v>0</v>
      </c>
      <c r="M115" s="161"/>
      <c r="N115" s="162"/>
      <c r="O115" s="105"/>
    </row>
    <row r="116" spans="1:15" s="106" customFormat="1" ht="18.5" x14ac:dyDescent="0.45">
      <c r="A116" s="164">
        <v>99</v>
      </c>
      <c r="B116" s="97"/>
      <c r="C116" s="98">
        <v>45824</v>
      </c>
      <c r="D116" s="157">
        <f>530+7412</f>
        <v>7942</v>
      </c>
      <c r="E116" s="100">
        <f>D116</f>
        <v>7942</v>
      </c>
      <c r="F116" s="158">
        <f t="shared" si="12"/>
        <v>0</v>
      </c>
      <c r="G116" s="103">
        <v>7942</v>
      </c>
      <c r="H116" s="159">
        <f t="shared" si="13"/>
        <v>0</v>
      </c>
      <c r="I116" s="160">
        <v>0</v>
      </c>
      <c r="J116" s="104"/>
      <c r="K116" s="104">
        <v>0</v>
      </c>
      <c r="L116" s="104">
        <v>0</v>
      </c>
      <c r="M116" s="161"/>
      <c r="N116" s="162">
        <f>F116*M116</f>
        <v>0</v>
      </c>
      <c r="O116" s="105"/>
    </row>
    <row r="117" spans="1:15" s="106" customFormat="1" ht="18.5" x14ac:dyDescent="0.45">
      <c r="A117" s="164">
        <v>100</v>
      </c>
      <c r="B117" s="97"/>
      <c r="C117" s="98">
        <v>45187</v>
      </c>
      <c r="D117" s="99">
        <v>1346</v>
      </c>
      <c r="E117" s="100">
        <v>1346</v>
      </c>
      <c r="F117" s="158">
        <f t="shared" si="12"/>
        <v>0</v>
      </c>
      <c r="G117" s="103">
        <v>1253</v>
      </c>
      <c r="H117" s="159">
        <f t="shared" si="13"/>
        <v>93</v>
      </c>
      <c r="I117" s="160">
        <v>0</v>
      </c>
      <c r="J117" s="104"/>
      <c r="K117" s="104">
        <v>0</v>
      </c>
      <c r="L117" s="104">
        <v>0</v>
      </c>
      <c r="M117" s="161"/>
      <c r="N117" s="162"/>
      <c r="O117" s="105"/>
    </row>
    <row r="118" spans="1:15" s="106" customFormat="1" ht="18.5" x14ac:dyDescent="0.45">
      <c r="A118" s="164">
        <v>101</v>
      </c>
      <c r="B118" s="97"/>
      <c r="C118" s="98">
        <v>45762</v>
      </c>
      <c r="D118" s="99">
        <f>3344+74</f>
        <v>3418</v>
      </c>
      <c r="E118" s="100">
        <v>3418</v>
      </c>
      <c r="F118" s="158">
        <f t="shared" si="12"/>
        <v>0</v>
      </c>
      <c r="G118" s="103">
        <v>3161</v>
      </c>
      <c r="H118" s="159">
        <f t="shared" si="13"/>
        <v>257</v>
      </c>
      <c r="I118" s="160">
        <v>0</v>
      </c>
      <c r="J118" s="104">
        <v>2524.8000000000002</v>
      </c>
      <c r="K118" s="104">
        <v>300</v>
      </c>
      <c r="L118" s="104">
        <v>9300</v>
      </c>
      <c r="M118" s="161"/>
      <c r="N118" s="162"/>
      <c r="O118" s="105"/>
    </row>
    <row r="119" spans="1:15" s="106" customFormat="1" ht="18.5" x14ac:dyDescent="0.45">
      <c r="A119" s="164">
        <v>102</v>
      </c>
      <c r="B119" s="97"/>
      <c r="C119" s="98">
        <v>45551</v>
      </c>
      <c r="D119" s="157">
        <f>4298+49</f>
        <v>4347</v>
      </c>
      <c r="E119" s="100">
        <f>4298+49</f>
        <v>4347</v>
      </c>
      <c r="F119" s="158">
        <f t="shared" si="12"/>
        <v>0</v>
      </c>
      <c r="G119" s="103">
        <v>4441</v>
      </c>
      <c r="H119" s="159">
        <f t="shared" si="13"/>
        <v>-94</v>
      </c>
      <c r="I119" s="160">
        <f>77*5.85</f>
        <v>450.45</v>
      </c>
      <c r="J119" s="104"/>
      <c r="K119" s="104">
        <v>0</v>
      </c>
      <c r="L119" s="104">
        <v>0</v>
      </c>
      <c r="M119" s="161"/>
      <c r="N119" s="162"/>
      <c r="O119" s="105"/>
    </row>
    <row r="120" spans="1:15" s="106" customFormat="1" ht="18.5" x14ac:dyDescent="0.45">
      <c r="A120" s="164">
        <v>103</v>
      </c>
      <c r="B120" s="97"/>
      <c r="C120" s="98">
        <v>45531</v>
      </c>
      <c r="D120" s="99">
        <v>322</v>
      </c>
      <c r="E120" s="100">
        <v>322</v>
      </c>
      <c r="F120" s="158">
        <f t="shared" si="12"/>
        <v>0</v>
      </c>
      <c r="G120" s="103">
        <v>309</v>
      </c>
      <c r="H120" s="159">
        <f t="shared" si="13"/>
        <v>13</v>
      </c>
      <c r="I120" s="160">
        <v>0</v>
      </c>
      <c r="J120" s="104"/>
      <c r="K120" s="104">
        <v>0</v>
      </c>
      <c r="L120" s="104">
        <v>0</v>
      </c>
      <c r="M120" s="161"/>
      <c r="N120" s="162"/>
      <c r="O120" s="105"/>
    </row>
    <row r="121" spans="1:15" s="106" customFormat="1" ht="18" customHeight="1" x14ac:dyDescent="0.45">
      <c r="A121" s="164">
        <v>104</v>
      </c>
      <c r="B121" s="97" t="s">
        <v>49</v>
      </c>
      <c r="C121" s="98">
        <v>45525</v>
      </c>
      <c r="D121" s="99">
        <v>1917</v>
      </c>
      <c r="E121" s="100">
        <v>1917</v>
      </c>
      <c r="F121" s="158">
        <f t="shared" si="12"/>
        <v>0</v>
      </c>
      <c r="G121" s="103">
        <v>1975</v>
      </c>
      <c r="H121" s="159">
        <f t="shared" si="13"/>
        <v>-58</v>
      </c>
      <c r="I121" s="160">
        <f>(58*6.28)+81.6-45.24</f>
        <v>400.6</v>
      </c>
      <c r="J121" s="104"/>
      <c r="K121" s="104">
        <v>0</v>
      </c>
      <c r="L121" s="104">
        <v>0</v>
      </c>
      <c r="M121" s="161"/>
      <c r="N121" s="162">
        <v>5.38</v>
      </c>
      <c r="O121" s="105">
        <f>N121*F121</f>
        <v>0</v>
      </c>
    </row>
    <row r="122" spans="1:15" ht="18.5" x14ac:dyDescent="0.45">
      <c r="A122" s="53"/>
      <c r="B122" s="54" t="s">
        <v>50</v>
      </c>
      <c r="C122" s="10">
        <v>45525</v>
      </c>
      <c r="D122" s="11">
        <v>630</v>
      </c>
      <c r="E122" s="24">
        <v>630</v>
      </c>
      <c r="F122" s="6">
        <f t="shared" si="12"/>
        <v>0</v>
      </c>
      <c r="G122" s="82">
        <v>654</v>
      </c>
      <c r="H122" s="83">
        <f t="shared" si="13"/>
        <v>-24</v>
      </c>
      <c r="I122" s="138"/>
      <c r="J122" s="93"/>
      <c r="K122" s="93"/>
      <c r="L122" s="93"/>
      <c r="M122" s="139"/>
      <c r="N122" s="90">
        <v>3.09</v>
      </c>
      <c r="O122" s="4">
        <f>F122*N122</f>
        <v>0</v>
      </c>
    </row>
    <row r="123" spans="1:15" s="106" customFormat="1" ht="18.5" x14ac:dyDescent="0.45">
      <c r="A123" s="164">
        <v>105</v>
      </c>
      <c r="B123" s="213"/>
      <c r="C123" s="98" t="s">
        <v>116</v>
      </c>
      <c r="D123" s="99"/>
      <c r="E123" s="100"/>
      <c r="F123" s="158"/>
      <c r="G123" s="103"/>
      <c r="H123" s="159"/>
      <c r="I123" s="160">
        <v>0</v>
      </c>
      <c r="J123" s="104"/>
      <c r="K123" s="104">
        <v>0</v>
      </c>
      <c r="L123" s="104">
        <v>0</v>
      </c>
      <c r="M123" s="161"/>
      <c r="N123" s="162"/>
      <c r="O123" s="105">
        <f>O122+O121</f>
        <v>0</v>
      </c>
    </row>
    <row r="124" spans="1:15" s="106" customFormat="1" ht="18.5" x14ac:dyDescent="0.45">
      <c r="A124" s="164">
        <v>106</v>
      </c>
      <c r="B124" s="97"/>
      <c r="C124" s="98">
        <v>45557</v>
      </c>
      <c r="D124" s="99">
        <v>4392</v>
      </c>
      <c r="E124" s="100">
        <v>4392</v>
      </c>
      <c r="F124" s="158"/>
      <c r="G124" s="103">
        <v>4514</v>
      </c>
      <c r="H124" s="159">
        <f>D124-G124</f>
        <v>-122</v>
      </c>
      <c r="I124" s="160">
        <f>122*5.85</f>
        <v>713.69999999999993</v>
      </c>
      <c r="J124" s="104"/>
      <c r="K124" s="104">
        <v>0</v>
      </c>
      <c r="L124" s="104">
        <v>0</v>
      </c>
      <c r="M124" s="161"/>
      <c r="N124" s="162"/>
      <c r="O124" s="105">
        <f>810+O123</f>
        <v>810</v>
      </c>
    </row>
    <row r="125" spans="1:15" s="106" customFormat="1" ht="18.5" x14ac:dyDescent="0.45">
      <c r="A125" s="164">
        <v>107</v>
      </c>
      <c r="B125" s="97"/>
      <c r="C125" s="98">
        <v>45761</v>
      </c>
      <c r="D125" s="157">
        <f>273+13667</f>
        <v>13940</v>
      </c>
      <c r="E125" s="100">
        <f>273+13667</f>
        <v>13940</v>
      </c>
      <c r="F125" s="158">
        <f>D125-E125</f>
        <v>0</v>
      </c>
      <c r="G125" s="103">
        <v>14679</v>
      </c>
      <c r="H125" s="159">
        <f>D125-G125</f>
        <v>-739</v>
      </c>
      <c r="I125" s="160">
        <f>739*5.85</f>
        <v>4323.1499999999996</v>
      </c>
      <c r="J125" s="104">
        <v>78.900000000000006</v>
      </c>
      <c r="K125" s="104">
        <v>300</v>
      </c>
      <c r="L125" s="104">
        <v>0</v>
      </c>
      <c r="M125" s="161"/>
      <c r="N125" s="162">
        <f>F125*M125</f>
        <v>0</v>
      </c>
      <c r="O125" s="105"/>
    </row>
    <row r="126" spans="1:15" s="106" customFormat="1" ht="18.5" x14ac:dyDescent="0.45">
      <c r="A126" s="164">
        <v>108</v>
      </c>
      <c r="B126" s="97"/>
      <c r="C126" s="98">
        <v>45547</v>
      </c>
      <c r="D126" s="157">
        <v>3462</v>
      </c>
      <c r="E126" s="100">
        <v>3462</v>
      </c>
      <c r="F126" s="158">
        <f t="shared" si="12"/>
        <v>0</v>
      </c>
      <c r="G126" s="103">
        <v>3462</v>
      </c>
      <c r="H126" s="159">
        <v>0</v>
      </c>
      <c r="I126" s="160">
        <v>0</v>
      </c>
      <c r="J126" s="104"/>
      <c r="K126" s="104">
        <v>0</v>
      </c>
      <c r="L126" s="104">
        <v>0</v>
      </c>
      <c r="M126" s="161"/>
      <c r="N126" s="162">
        <f>F126*M126</f>
        <v>0</v>
      </c>
      <c r="O126" s="105"/>
    </row>
    <row r="127" spans="1:15" ht="18.5" x14ac:dyDescent="0.45">
      <c r="A127" s="55">
        <v>109</v>
      </c>
      <c r="B127" s="18"/>
      <c r="C127" s="19"/>
      <c r="D127" s="36"/>
      <c r="E127" s="49"/>
      <c r="F127" s="22"/>
      <c r="G127" s="82"/>
      <c r="H127" s="83">
        <f t="shared" ref="H127:H139" si="14">D127-G127</f>
        <v>0</v>
      </c>
      <c r="I127" s="160">
        <v>0</v>
      </c>
      <c r="J127" s="104"/>
      <c r="K127" s="104">
        <v>0</v>
      </c>
      <c r="L127" s="104">
        <v>0</v>
      </c>
      <c r="M127" s="139"/>
      <c r="N127" s="90"/>
      <c r="O127" s="4"/>
    </row>
    <row r="128" spans="1:15" ht="18.5" x14ac:dyDescent="0.45">
      <c r="A128" s="56">
        <v>110</v>
      </c>
      <c r="B128" s="57"/>
      <c r="C128" s="58">
        <v>44958</v>
      </c>
      <c r="D128" s="28"/>
      <c r="E128" s="46"/>
      <c r="F128" s="47"/>
      <c r="G128" s="82"/>
      <c r="H128" s="83">
        <f t="shared" si="14"/>
        <v>0</v>
      </c>
      <c r="I128" s="160">
        <v>0</v>
      </c>
      <c r="J128" s="104">
        <v>78.900000000000006</v>
      </c>
      <c r="K128" s="104">
        <v>300</v>
      </c>
      <c r="L128" s="104">
        <v>0</v>
      </c>
      <c r="M128" s="139"/>
      <c r="N128" s="90"/>
      <c r="O128" s="4"/>
    </row>
    <row r="129" spans="1:15" s="106" customFormat="1" ht="18.5" x14ac:dyDescent="0.45">
      <c r="A129" s="164">
        <v>111</v>
      </c>
      <c r="B129" s="97"/>
      <c r="C129" s="98">
        <v>45607</v>
      </c>
      <c r="D129" s="99">
        <v>7269</v>
      </c>
      <c r="E129" s="100">
        <v>7269</v>
      </c>
      <c r="F129" s="158"/>
      <c r="G129" s="103">
        <v>7268</v>
      </c>
      <c r="H129" s="159">
        <f t="shared" si="14"/>
        <v>1</v>
      </c>
      <c r="I129" s="160">
        <v>0</v>
      </c>
      <c r="J129" s="104"/>
      <c r="K129" s="104">
        <v>0</v>
      </c>
      <c r="L129" s="104">
        <v>0</v>
      </c>
      <c r="M129" s="161"/>
      <c r="N129" s="162"/>
      <c r="O129" s="105"/>
    </row>
    <row r="130" spans="1:15" s="106" customFormat="1" ht="18.5" x14ac:dyDescent="0.45">
      <c r="A130" s="164">
        <v>112</v>
      </c>
      <c r="B130" s="97"/>
      <c r="C130" s="98">
        <v>45555</v>
      </c>
      <c r="D130" s="157">
        <v>4137</v>
      </c>
      <c r="E130" s="100">
        <v>4137</v>
      </c>
      <c r="F130" s="158">
        <f t="shared" ref="F130:F136" si="15">E130-D130</f>
        <v>0</v>
      </c>
      <c r="G130" s="103">
        <v>4086</v>
      </c>
      <c r="H130" s="159">
        <f t="shared" si="14"/>
        <v>51</v>
      </c>
      <c r="I130" s="160">
        <v>0</v>
      </c>
      <c r="J130" s="104"/>
      <c r="K130" s="104">
        <v>0</v>
      </c>
      <c r="L130" s="104">
        <v>0</v>
      </c>
      <c r="M130" s="161"/>
      <c r="N130" s="162">
        <f>F130*M130</f>
        <v>0</v>
      </c>
      <c r="O130" s="105"/>
    </row>
    <row r="131" spans="1:15" s="106" customFormat="1" ht="18.5" x14ac:dyDescent="0.45">
      <c r="A131" s="164">
        <v>113</v>
      </c>
      <c r="B131" s="97"/>
      <c r="C131" s="98">
        <v>45593</v>
      </c>
      <c r="D131" s="99">
        <v>1738</v>
      </c>
      <c r="E131" s="100">
        <v>1738</v>
      </c>
      <c r="F131" s="158">
        <f t="shared" si="15"/>
        <v>0</v>
      </c>
      <c r="G131" s="103">
        <v>1538</v>
      </c>
      <c r="H131" s="159">
        <f t="shared" si="14"/>
        <v>200</v>
      </c>
      <c r="I131" s="160">
        <v>0</v>
      </c>
      <c r="J131" s="104"/>
      <c r="K131" s="104">
        <v>0</v>
      </c>
      <c r="L131" s="104">
        <v>0</v>
      </c>
      <c r="M131" s="161"/>
      <c r="N131" s="162"/>
      <c r="O131" s="105"/>
    </row>
    <row r="132" spans="1:15" s="106" customFormat="1" ht="18.5" x14ac:dyDescent="0.45">
      <c r="A132" s="234">
        <v>114</v>
      </c>
      <c r="B132" s="97"/>
      <c r="C132" s="98">
        <v>45569</v>
      </c>
      <c r="D132" s="99">
        <v>1557</v>
      </c>
      <c r="E132" s="100">
        <v>1557</v>
      </c>
      <c r="F132" s="158"/>
      <c r="G132" s="103">
        <v>1753</v>
      </c>
      <c r="H132" s="159">
        <f t="shared" si="14"/>
        <v>-196</v>
      </c>
      <c r="I132" s="160">
        <f>196*5.85</f>
        <v>1146.5999999999999</v>
      </c>
      <c r="J132" s="104">
        <f>K132*0.263</f>
        <v>210.4</v>
      </c>
      <c r="K132" s="104">
        <v>800</v>
      </c>
      <c r="L132" s="104">
        <v>0</v>
      </c>
      <c r="M132" s="161"/>
      <c r="N132" s="162"/>
      <c r="O132" s="105"/>
    </row>
    <row r="133" spans="1:15" s="106" customFormat="1" ht="18.5" x14ac:dyDescent="0.45">
      <c r="A133" s="164" t="s">
        <v>51</v>
      </c>
      <c r="B133" s="97"/>
      <c r="C133" s="98">
        <v>45313</v>
      </c>
      <c r="D133" s="157">
        <v>879</v>
      </c>
      <c r="E133" s="192">
        <f>556+123+200</f>
        <v>879</v>
      </c>
      <c r="F133" s="158">
        <f t="shared" si="15"/>
        <v>0</v>
      </c>
      <c r="G133" s="103">
        <v>2095</v>
      </c>
      <c r="H133" s="159">
        <f t="shared" si="14"/>
        <v>-1216</v>
      </c>
      <c r="I133" s="160">
        <f>1216*5.85</f>
        <v>7113.5999999999995</v>
      </c>
      <c r="J133" s="104"/>
      <c r="K133" s="104">
        <v>0</v>
      </c>
      <c r="L133" s="104">
        <v>0</v>
      </c>
      <c r="M133" s="161"/>
      <c r="N133" s="162">
        <f>F133*M133</f>
        <v>0</v>
      </c>
      <c r="O133" s="105"/>
    </row>
    <row r="134" spans="1:15" s="106" customFormat="1" ht="18.5" x14ac:dyDescent="0.45">
      <c r="A134" s="164" t="s">
        <v>52</v>
      </c>
      <c r="B134" s="97"/>
      <c r="C134" s="98">
        <v>45726</v>
      </c>
      <c r="D134" s="157">
        <f>22420+407+343+400</f>
        <v>23570</v>
      </c>
      <c r="E134" s="192">
        <f>D134</f>
        <v>23570</v>
      </c>
      <c r="F134" s="158">
        <f t="shared" si="15"/>
        <v>0</v>
      </c>
      <c r="G134" s="103"/>
      <c r="H134" s="159"/>
      <c r="I134" s="160">
        <v>0</v>
      </c>
      <c r="J134" s="104"/>
      <c r="K134" s="104">
        <v>0</v>
      </c>
      <c r="L134" s="104">
        <v>0</v>
      </c>
      <c r="M134" s="161"/>
      <c r="N134" s="162">
        <f>F134*M134</f>
        <v>0</v>
      </c>
      <c r="O134" s="105"/>
    </row>
    <row r="135" spans="1:15" s="106" customFormat="1" ht="18.5" x14ac:dyDescent="0.45">
      <c r="A135" s="164">
        <v>117</v>
      </c>
      <c r="B135" s="97"/>
      <c r="C135" s="98">
        <v>45810</v>
      </c>
      <c r="D135" s="99">
        <f>4284+427+496</f>
        <v>5207</v>
      </c>
      <c r="E135" s="100">
        <f>D135</f>
        <v>5207</v>
      </c>
      <c r="F135" s="158">
        <f t="shared" si="15"/>
        <v>0</v>
      </c>
      <c r="G135" s="103">
        <v>4391</v>
      </c>
      <c r="H135" s="159">
        <f t="shared" si="14"/>
        <v>816</v>
      </c>
      <c r="I135" s="160">
        <v>0</v>
      </c>
      <c r="J135" s="104"/>
      <c r="K135" s="104">
        <v>0</v>
      </c>
      <c r="L135" s="104">
        <v>0</v>
      </c>
      <c r="M135" s="161"/>
      <c r="N135" s="162"/>
      <c r="O135" s="105"/>
    </row>
    <row r="136" spans="1:15" s="106" customFormat="1" ht="18.5" x14ac:dyDescent="0.45">
      <c r="A136" s="164">
        <v>118</v>
      </c>
      <c r="B136" s="97"/>
      <c r="C136" s="98">
        <v>45553</v>
      </c>
      <c r="D136" s="99">
        <v>6840</v>
      </c>
      <c r="E136" s="100">
        <v>6840</v>
      </c>
      <c r="F136" s="158">
        <f t="shared" si="15"/>
        <v>0</v>
      </c>
      <c r="G136" s="103">
        <v>6783</v>
      </c>
      <c r="H136" s="159">
        <f t="shared" si="14"/>
        <v>57</v>
      </c>
      <c r="I136" s="160">
        <v>0</v>
      </c>
      <c r="J136" s="104"/>
      <c r="K136" s="104">
        <v>0</v>
      </c>
      <c r="L136" s="104">
        <v>0</v>
      </c>
      <c r="M136" s="161"/>
      <c r="N136" s="162"/>
      <c r="O136" s="105"/>
    </row>
    <row r="137" spans="1:15" s="106" customFormat="1" ht="18.5" x14ac:dyDescent="0.45">
      <c r="A137" s="164">
        <v>119</v>
      </c>
      <c r="B137" s="97"/>
      <c r="C137" s="98">
        <v>45824</v>
      </c>
      <c r="D137" s="99">
        <f>3900+500</f>
        <v>4400</v>
      </c>
      <c r="E137" s="100">
        <f>D137</f>
        <v>4400</v>
      </c>
      <c r="F137" s="158">
        <f t="shared" ref="F137:F143" si="16">E137-D137</f>
        <v>0</v>
      </c>
      <c r="G137" s="103">
        <v>4400</v>
      </c>
      <c r="H137" s="159">
        <f t="shared" si="14"/>
        <v>0</v>
      </c>
      <c r="I137" s="160">
        <v>0</v>
      </c>
      <c r="J137" s="104"/>
      <c r="K137" s="104">
        <v>0</v>
      </c>
      <c r="L137" s="104">
        <v>0</v>
      </c>
      <c r="M137" s="161"/>
      <c r="N137" s="162"/>
      <c r="O137" s="105"/>
    </row>
    <row r="138" spans="1:15" s="106" customFormat="1" ht="18.5" x14ac:dyDescent="0.45">
      <c r="A138" s="164">
        <v>120</v>
      </c>
      <c r="B138" s="97"/>
      <c r="C138" s="98">
        <v>44762</v>
      </c>
      <c r="D138" s="99">
        <v>280</v>
      </c>
      <c r="E138" s="100">
        <v>195</v>
      </c>
      <c r="F138" s="158">
        <f t="shared" si="16"/>
        <v>-85</v>
      </c>
      <c r="G138" s="103">
        <v>225</v>
      </c>
      <c r="H138" s="159">
        <f t="shared" si="14"/>
        <v>55</v>
      </c>
      <c r="I138" s="160">
        <v>0</v>
      </c>
      <c r="J138" s="104"/>
      <c r="K138" s="104">
        <v>0</v>
      </c>
      <c r="L138" s="104">
        <v>0</v>
      </c>
      <c r="M138" s="161"/>
      <c r="N138" s="162"/>
      <c r="O138" s="105"/>
    </row>
    <row r="139" spans="1:15" s="106" customFormat="1" ht="18" customHeight="1" x14ac:dyDescent="0.45">
      <c r="A139" s="164">
        <v>121</v>
      </c>
      <c r="B139" s="97"/>
      <c r="C139" s="98">
        <v>45289</v>
      </c>
      <c r="D139" s="99">
        <f>150+243-93</f>
        <v>300</v>
      </c>
      <c r="E139" s="100">
        <v>300</v>
      </c>
      <c r="F139" s="158">
        <f t="shared" si="16"/>
        <v>0</v>
      </c>
      <c r="G139" s="103">
        <v>221</v>
      </c>
      <c r="H139" s="159">
        <f t="shared" si="14"/>
        <v>79</v>
      </c>
      <c r="I139" s="160">
        <v>0</v>
      </c>
      <c r="J139" s="104"/>
      <c r="K139" s="104">
        <v>0</v>
      </c>
      <c r="L139" s="104">
        <v>0</v>
      </c>
      <c r="M139" s="161"/>
      <c r="N139" s="162"/>
      <c r="O139" s="105"/>
    </row>
    <row r="140" spans="1:15" ht="18.5" x14ac:dyDescent="0.45">
      <c r="A140" s="53">
        <v>122</v>
      </c>
      <c r="B140" s="9" t="s">
        <v>53</v>
      </c>
      <c r="C140" s="10">
        <v>45824</v>
      </c>
      <c r="D140" s="13">
        <v>3165</v>
      </c>
      <c r="E140" s="23">
        <v>3165</v>
      </c>
      <c r="F140" s="6">
        <f t="shared" si="16"/>
        <v>0</v>
      </c>
      <c r="G140" s="82"/>
      <c r="H140" s="83"/>
      <c r="I140" s="138"/>
      <c r="J140" s="93"/>
      <c r="K140" s="93"/>
      <c r="L140" s="93"/>
      <c r="M140" s="139"/>
      <c r="N140" s="90" t="s">
        <v>112</v>
      </c>
      <c r="O140" s="4"/>
    </row>
    <row r="141" spans="1:15" ht="18.5" x14ac:dyDescent="0.45">
      <c r="A141" s="53">
        <v>122</v>
      </c>
      <c r="B141" s="9" t="s">
        <v>54</v>
      </c>
      <c r="C141" s="10">
        <v>45824</v>
      </c>
      <c r="D141" s="13">
        <v>975</v>
      </c>
      <c r="E141" s="23">
        <v>975</v>
      </c>
      <c r="F141" s="6">
        <f>D141-E141</f>
        <v>0</v>
      </c>
      <c r="G141" s="82"/>
      <c r="H141" s="83"/>
      <c r="I141" s="138"/>
      <c r="J141" s="93"/>
      <c r="K141" s="93"/>
      <c r="L141" s="93"/>
      <c r="M141" s="139"/>
      <c r="N141" s="90">
        <f>F141*M141</f>
        <v>0</v>
      </c>
      <c r="O141" s="4" t="e">
        <f>N140+N141</f>
        <v>#VALUE!</v>
      </c>
    </row>
    <row r="142" spans="1:15" s="106" customFormat="1" ht="18.5" x14ac:dyDescent="0.45">
      <c r="A142" s="164">
        <v>122</v>
      </c>
      <c r="B142" s="97" t="s">
        <v>55</v>
      </c>
      <c r="C142" s="98">
        <v>45824</v>
      </c>
      <c r="D142" s="157">
        <f>4754+304+9+103+9+249+99+92+35</f>
        <v>5654</v>
      </c>
      <c r="E142" s="100">
        <f>D142</f>
        <v>5654</v>
      </c>
      <c r="F142" s="158">
        <f t="shared" si="16"/>
        <v>0</v>
      </c>
      <c r="G142" s="103">
        <v>6514</v>
      </c>
      <c r="H142" s="159">
        <f>D142-G142</f>
        <v>-860</v>
      </c>
      <c r="I142" s="160">
        <v>0</v>
      </c>
      <c r="J142" s="104"/>
      <c r="K142" s="104">
        <v>0</v>
      </c>
      <c r="L142" s="104">
        <v>0</v>
      </c>
      <c r="M142" s="161"/>
      <c r="N142" s="162"/>
      <c r="O142" s="105"/>
    </row>
    <row r="143" spans="1:15" s="106" customFormat="1" ht="18.5" x14ac:dyDescent="0.45">
      <c r="A143" s="164">
        <v>123</v>
      </c>
      <c r="B143" s="97"/>
      <c r="C143" s="98">
        <v>45819</v>
      </c>
      <c r="D143" s="157">
        <v>11469</v>
      </c>
      <c r="E143" s="100">
        <v>11469</v>
      </c>
      <c r="F143" s="158">
        <f t="shared" si="16"/>
        <v>0</v>
      </c>
      <c r="G143" s="103">
        <v>11405</v>
      </c>
      <c r="H143" s="159">
        <f>D143-G143</f>
        <v>64</v>
      </c>
      <c r="I143" s="160">
        <v>0</v>
      </c>
      <c r="J143" s="104"/>
      <c r="K143" s="104">
        <v>0</v>
      </c>
      <c r="L143" s="104">
        <v>0</v>
      </c>
      <c r="M143" s="161"/>
      <c r="N143" s="162">
        <f>F143*M143</f>
        <v>0</v>
      </c>
      <c r="O143" s="105"/>
    </row>
    <row r="144" spans="1:15" s="106" customFormat="1" ht="18.5" x14ac:dyDescent="0.45">
      <c r="A144" s="164">
        <v>124</v>
      </c>
      <c r="B144" s="97"/>
      <c r="C144" s="98" t="s">
        <v>116</v>
      </c>
      <c r="D144" s="157"/>
      <c r="E144" s="100"/>
      <c r="F144" s="158"/>
      <c r="G144" s="103"/>
      <c r="H144" s="159"/>
      <c r="I144" s="160">
        <v>0</v>
      </c>
      <c r="J144" s="104">
        <f>(K144+L144)*0.263</f>
        <v>6838</v>
      </c>
      <c r="K144" s="104">
        <f>400+500+300</f>
        <v>1200</v>
      </c>
      <c r="L144" s="104">
        <f>7500+8000+9300</f>
        <v>24800</v>
      </c>
      <c r="M144" s="161"/>
      <c r="N144" s="162"/>
      <c r="O144" s="105"/>
    </row>
    <row r="145" spans="1:15" ht="18.5" x14ac:dyDescent="0.45">
      <c r="A145" s="53">
        <v>125</v>
      </c>
      <c r="B145" s="9" t="s">
        <v>34</v>
      </c>
      <c r="C145" s="10">
        <v>45610</v>
      </c>
      <c r="D145" s="11">
        <v>2926</v>
      </c>
      <c r="E145" s="24">
        <v>2926</v>
      </c>
      <c r="F145" s="6">
        <f t="shared" ref="F145:F158" si="17">E145-D145</f>
        <v>0</v>
      </c>
      <c r="G145" s="82"/>
      <c r="H145" s="83"/>
      <c r="I145" s="138"/>
      <c r="J145" s="93"/>
      <c r="K145" s="93"/>
      <c r="L145" s="93"/>
      <c r="M145" s="139"/>
      <c r="N145" s="90" t="e">
        <f>M145*#REF!</f>
        <v>#REF!</v>
      </c>
      <c r="O145" s="4"/>
    </row>
    <row r="146" spans="1:15" s="106" customFormat="1" ht="18.5" x14ac:dyDescent="0.45">
      <c r="A146" s="164">
        <v>125</v>
      </c>
      <c r="B146" s="97" t="s">
        <v>28</v>
      </c>
      <c r="C146" s="98">
        <v>45610</v>
      </c>
      <c r="D146" s="99">
        <v>2911</v>
      </c>
      <c r="E146" s="100">
        <v>2911</v>
      </c>
      <c r="F146" s="158">
        <f t="shared" si="17"/>
        <v>0</v>
      </c>
      <c r="G146" s="103">
        <v>2926</v>
      </c>
      <c r="H146" s="159">
        <f>D146-G146</f>
        <v>-15</v>
      </c>
      <c r="I146" s="160">
        <f>15*5.85</f>
        <v>87.75</v>
      </c>
      <c r="J146" s="104"/>
      <c r="K146" s="104">
        <v>0</v>
      </c>
      <c r="L146" s="104">
        <v>0</v>
      </c>
      <c r="M146" s="161"/>
      <c r="N146" s="162"/>
      <c r="O146" s="105"/>
    </row>
    <row r="147" spans="1:15" s="106" customFormat="1" ht="18.5" x14ac:dyDescent="0.45">
      <c r="A147" s="164">
        <v>126</v>
      </c>
      <c r="B147" s="97" t="s">
        <v>56</v>
      </c>
      <c r="C147" s="98">
        <v>45289</v>
      </c>
      <c r="D147" s="157">
        <v>16238</v>
      </c>
      <c r="E147" s="102">
        <v>16238</v>
      </c>
      <c r="F147" s="158">
        <f t="shared" si="17"/>
        <v>0</v>
      </c>
      <c r="G147" s="103">
        <v>20720</v>
      </c>
      <c r="H147" s="159">
        <f>D147-G147</f>
        <v>-4482</v>
      </c>
      <c r="I147" s="160">
        <f>(4482*6.28)+(2423*3.4)-10000</f>
        <v>26385.160000000003</v>
      </c>
      <c r="J147" s="104"/>
      <c r="K147" s="104">
        <v>0</v>
      </c>
      <c r="L147" s="104">
        <v>0</v>
      </c>
      <c r="M147" s="161"/>
      <c r="N147" s="162"/>
      <c r="O147" s="105"/>
    </row>
    <row r="148" spans="1:15" ht="18.5" x14ac:dyDescent="0.45">
      <c r="A148" s="53">
        <v>126</v>
      </c>
      <c r="B148" s="54" t="s">
        <v>57</v>
      </c>
      <c r="C148" s="10">
        <v>45289</v>
      </c>
      <c r="D148" s="13">
        <v>8030</v>
      </c>
      <c r="E148" s="7">
        <v>8030</v>
      </c>
      <c r="F148" s="37">
        <f t="shared" si="17"/>
        <v>0</v>
      </c>
      <c r="G148" s="82">
        <v>10453</v>
      </c>
      <c r="H148" s="83">
        <f>D148-G148</f>
        <v>-2423</v>
      </c>
      <c r="I148" s="138"/>
      <c r="J148" s="93"/>
      <c r="K148" s="93"/>
      <c r="L148" s="93"/>
      <c r="M148" s="139"/>
      <c r="N148" s="90"/>
      <c r="O148" s="4"/>
    </row>
    <row r="149" spans="1:15" ht="18.5" x14ac:dyDescent="0.45">
      <c r="A149" s="53" t="s">
        <v>58</v>
      </c>
      <c r="B149" s="9"/>
      <c r="C149" s="10"/>
      <c r="D149" s="11"/>
      <c r="E149" s="24"/>
      <c r="F149" s="6"/>
      <c r="G149" s="82"/>
      <c r="H149" s="83"/>
      <c r="I149" s="138"/>
      <c r="J149" s="93"/>
      <c r="K149" s="93"/>
      <c r="L149" s="93"/>
      <c r="M149" s="139"/>
      <c r="N149" s="132"/>
      <c r="O149" s="59"/>
    </row>
    <row r="150" spans="1:15" ht="15.5" x14ac:dyDescent="0.35">
      <c r="A150" s="60" t="s">
        <v>58</v>
      </c>
      <c r="B150" s="9" t="s">
        <v>8</v>
      </c>
      <c r="C150" s="10">
        <v>45800</v>
      </c>
      <c r="D150" s="11"/>
      <c r="E150" s="244"/>
      <c r="F150" s="37"/>
      <c r="G150" s="246">
        <v>33270</v>
      </c>
      <c r="H150" s="247"/>
      <c r="I150" s="143"/>
      <c r="J150" s="94"/>
      <c r="K150" s="94"/>
      <c r="L150" s="94"/>
      <c r="M150" s="139"/>
      <c r="N150" s="90"/>
      <c r="O150" s="4"/>
    </row>
    <row r="151" spans="1:15" s="106" customFormat="1" ht="15.5" x14ac:dyDescent="0.35">
      <c r="A151" s="191" t="s">
        <v>58</v>
      </c>
      <c r="B151" s="97" t="s">
        <v>108</v>
      </c>
      <c r="C151" s="98">
        <v>45800</v>
      </c>
      <c r="D151" s="99"/>
      <c r="E151" s="192"/>
      <c r="F151" s="193"/>
      <c r="G151" s="246">
        <v>16452</v>
      </c>
      <c r="H151" s="248"/>
      <c r="I151" s="160">
        <f>46060.16+33141.26</f>
        <v>79201.420000000013</v>
      </c>
      <c r="J151" s="104">
        <v>78.900000000000006</v>
      </c>
      <c r="K151" s="104">
        <v>300</v>
      </c>
      <c r="L151" s="104">
        <v>0</v>
      </c>
      <c r="M151" s="161"/>
      <c r="N151" s="162"/>
      <c r="O151" s="105"/>
    </row>
    <row r="152" spans="1:15" s="106" customFormat="1" ht="18.5" x14ac:dyDescent="0.45">
      <c r="A152" s="164">
        <v>128</v>
      </c>
      <c r="B152" s="97"/>
      <c r="C152" s="98">
        <v>44751</v>
      </c>
      <c r="D152" s="99">
        <v>13606</v>
      </c>
      <c r="E152" s="100">
        <v>13606</v>
      </c>
      <c r="F152" s="158">
        <f>E152-D152</f>
        <v>0</v>
      </c>
      <c r="G152" s="103">
        <v>13589</v>
      </c>
      <c r="H152" s="159">
        <f t="shared" ref="H152:H158" si="18">D152-G152</f>
        <v>17</v>
      </c>
      <c r="I152" s="160">
        <v>0</v>
      </c>
      <c r="J152" s="104"/>
      <c r="K152" s="104">
        <v>0</v>
      </c>
      <c r="L152" s="104">
        <v>0</v>
      </c>
      <c r="M152" s="161"/>
      <c r="N152" s="162"/>
      <c r="O152" s="105"/>
    </row>
    <row r="153" spans="1:15" ht="18.5" x14ac:dyDescent="0.45">
      <c r="A153" s="55">
        <v>129</v>
      </c>
      <c r="B153" s="18"/>
      <c r="C153" s="58">
        <v>44854</v>
      </c>
      <c r="D153" s="28"/>
      <c r="E153" s="49"/>
      <c r="F153" s="22"/>
      <c r="G153" s="82"/>
      <c r="H153" s="83">
        <f t="shared" si="18"/>
        <v>0</v>
      </c>
      <c r="I153" s="160">
        <v>0</v>
      </c>
      <c r="J153" s="104"/>
      <c r="K153" s="104">
        <v>0</v>
      </c>
      <c r="L153" s="104">
        <v>0</v>
      </c>
      <c r="M153" s="139"/>
      <c r="N153" s="90"/>
      <c r="O153" s="4"/>
    </row>
    <row r="154" spans="1:15" s="106" customFormat="1" ht="18.5" x14ac:dyDescent="0.45">
      <c r="A154" s="164">
        <v>130</v>
      </c>
      <c r="B154" s="97" t="s">
        <v>126</v>
      </c>
      <c r="C154" s="98">
        <v>45757</v>
      </c>
      <c r="D154" s="99">
        <v>0</v>
      </c>
      <c r="E154" s="100">
        <v>0</v>
      </c>
      <c r="F154" s="158">
        <f t="shared" si="17"/>
        <v>0</v>
      </c>
      <c r="G154" s="103">
        <v>3818</v>
      </c>
      <c r="H154" s="159">
        <f t="shared" si="18"/>
        <v>-3818</v>
      </c>
      <c r="I154" s="160">
        <f>3818*5.85</f>
        <v>22335.3</v>
      </c>
      <c r="J154" s="104"/>
      <c r="K154" s="104">
        <v>0</v>
      </c>
      <c r="L154" s="104">
        <v>0</v>
      </c>
      <c r="M154" s="161"/>
      <c r="N154" s="162"/>
      <c r="O154" s="105"/>
    </row>
    <row r="155" spans="1:15" s="106" customFormat="1" ht="18.5" x14ac:dyDescent="0.45">
      <c r="A155" s="164">
        <v>131</v>
      </c>
      <c r="B155" s="97"/>
      <c r="C155" s="98">
        <v>45799</v>
      </c>
      <c r="D155" s="157">
        <v>11059</v>
      </c>
      <c r="E155" s="100">
        <v>11059</v>
      </c>
      <c r="F155" s="158">
        <f t="shared" si="17"/>
        <v>0</v>
      </c>
      <c r="G155" s="103">
        <v>9995</v>
      </c>
      <c r="H155" s="159">
        <f t="shared" si="18"/>
        <v>1064</v>
      </c>
      <c r="I155" s="160">
        <v>0</v>
      </c>
      <c r="J155" s="104"/>
      <c r="K155" s="104">
        <v>0</v>
      </c>
      <c r="L155" s="104">
        <v>0</v>
      </c>
      <c r="M155" s="161"/>
      <c r="N155" s="162">
        <f>F155*M155</f>
        <v>0</v>
      </c>
      <c r="O155" s="105"/>
    </row>
    <row r="156" spans="1:15" s="106" customFormat="1" ht="18.5" x14ac:dyDescent="0.45">
      <c r="A156" s="164">
        <v>132</v>
      </c>
      <c r="B156" s="97"/>
      <c r="C156" s="212">
        <v>45462</v>
      </c>
      <c r="D156" s="99">
        <v>2753</v>
      </c>
      <c r="E156" s="100">
        <v>2753</v>
      </c>
      <c r="F156" s="158">
        <f t="shared" si="17"/>
        <v>0</v>
      </c>
      <c r="G156" s="103">
        <v>2444</v>
      </c>
      <c r="H156" s="159">
        <f t="shared" si="18"/>
        <v>309</v>
      </c>
      <c r="I156" s="160">
        <v>0</v>
      </c>
      <c r="J156" s="104">
        <v>78.900000000000006</v>
      </c>
      <c r="K156" s="104">
        <v>300</v>
      </c>
      <c r="L156" s="104">
        <v>0</v>
      </c>
      <c r="M156" s="161"/>
      <c r="N156" s="162"/>
      <c r="O156" s="105"/>
    </row>
    <row r="157" spans="1:15" s="106" customFormat="1" ht="18.5" x14ac:dyDescent="0.45">
      <c r="A157" s="164">
        <v>133</v>
      </c>
      <c r="B157" s="97"/>
      <c r="C157" s="98">
        <v>45814</v>
      </c>
      <c r="D157" s="99">
        <v>650</v>
      </c>
      <c r="E157" s="100">
        <v>650</v>
      </c>
      <c r="F157" s="158">
        <v>0</v>
      </c>
      <c r="G157" s="103">
        <v>505</v>
      </c>
      <c r="H157" s="159">
        <f t="shared" si="18"/>
        <v>145</v>
      </c>
      <c r="I157" s="160">
        <v>0</v>
      </c>
      <c r="J157" s="104"/>
      <c r="K157" s="104">
        <v>0</v>
      </c>
      <c r="L157" s="104">
        <v>0</v>
      </c>
      <c r="M157" s="161"/>
      <c r="N157" s="162"/>
      <c r="O157" s="105"/>
    </row>
    <row r="158" spans="1:15" s="106" customFormat="1" ht="18.5" x14ac:dyDescent="0.45">
      <c r="A158" s="164">
        <v>134</v>
      </c>
      <c r="B158" s="97"/>
      <c r="C158" s="98">
        <v>45530</v>
      </c>
      <c r="D158" s="157">
        <v>5340</v>
      </c>
      <c r="E158" s="100">
        <v>5340</v>
      </c>
      <c r="F158" s="158">
        <f t="shared" si="17"/>
        <v>0</v>
      </c>
      <c r="G158" s="103">
        <v>5426</v>
      </c>
      <c r="H158" s="159">
        <f t="shared" si="18"/>
        <v>-86</v>
      </c>
      <c r="I158" s="160">
        <f>86*5.85</f>
        <v>503.09999999999997</v>
      </c>
      <c r="J158" s="104"/>
      <c r="K158" s="104">
        <v>0</v>
      </c>
      <c r="L158" s="104">
        <v>0</v>
      </c>
      <c r="M158" s="161"/>
      <c r="N158" s="162">
        <f>F158*M158</f>
        <v>0</v>
      </c>
      <c r="O158" s="105"/>
    </row>
    <row r="159" spans="1:15" ht="15.5" x14ac:dyDescent="0.35">
      <c r="A159" s="251" t="s">
        <v>59</v>
      </c>
      <c r="B159" s="252"/>
      <c r="C159" s="253"/>
      <c r="D159" s="29" t="s">
        <v>27</v>
      </c>
      <c r="E159" s="5">
        <v>44903</v>
      </c>
      <c r="F159" s="5"/>
      <c r="G159" s="82"/>
      <c r="H159" s="83"/>
      <c r="I159" s="138"/>
      <c r="J159" s="93"/>
      <c r="K159" s="93"/>
      <c r="L159" s="93"/>
      <c r="M159" s="139"/>
      <c r="N159" s="90"/>
      <c r="O159" s="4"/>
    </row>
    <row r="160" spans="1:15" s="106" customFormat="1" ht="15.5" x14ac:dyDescent="0.35">
      <c r="A160" s="190" t="s">
        <v>60</v>
      </c>
      <c r="B160" s="97"/>
      <c r="C160" s="98">
        <v>45607</v>
      </c>
      <c r="D160" s="196">
        <v>8920</v>
      </c>
      <c r="E160" s="100">
        <v>8920</v>
      </c>
      <c r="F160" s="158">
        <f t="shared" ref="F160:F176" si="19">E160-D160</f>
        <v>0</v>
      </c>
      <c r="G160" s="103">
        <v>8954</v>
      </c>
      <c r="H160" s="159">
        <f t="shared" ref="H160:H170" si="20">D160-G160</f>
        <v>-34</v>
      </c>
      <c r="I160" s="160">
        <f>34*5.85</f>
        <v>198.89999999999998</v>
      </c>
      <c r="J160" s="104"/>
      <c r="K160" s="104">
        <v>0</v>
      </c>
      <c r="L160" s="104">
        <v>0</v>
      </c>
      <c r="M160" s="161"/>
      <c r="N160" s="162">
        <v>5.38</v>
      </c>
      <c r="O160" s="105">
        <f>N160*F160</f>
        <v>0</v>
      </c>
    </row>
    <row r="161" spans="1:15" s="106" customFormat="1" ht="15.5" x14ac:dyDescent="0.35">
      <c r="A161" s="190">
        <v>137</v>
      </c>
      <c r="B161" s="97"/>
      <c r="C161" s="98">
        <v>45593</v>
      </c>
      <c r="D161" s="167">
        <v>1542</v>
      </c>
      <c r="E161" s="100">
        <v>1542</v>
      </c>
      <c r="F161" s="158">
        <f t="shared" si="19"/>
        <v>0</v>
      </c>
      <c r="G161" s="103">
        <v>1053</v>
      </c>
      <c r="H161" s="159">
        <f t="shared" si="20"/>
        <v>489</v>
      </c>
      <c r="I161" s="160">
        <v>0</v>
      </c>
      <c r="J161" s="104"/>
      <c r="K161" s="104">
        <v>0</v>
      </c>
      <c r="L161" s="104">
        <v>0</v>
      </c>
      <c r="M161" s="161"/>
      <c r="N161" s="162"/>
      <c r="O161" s="105"/>
    </row>
    <row r="162" spans="1:15" s="106" customFormat="1" ht="15.5" x14ac:dyDescent="0.35">
      <c r="A162" s="190" t="s">
        <v>117</v>
      </c>
      <c r="B162" s="97"/>
      <c r="C162" s="98">
        <v>45488</v>
      </c>
      <c r="D162" s="167">
        <f>12800+600+600</f>
        <v>14000</v>
      </c>
      <c r="E162" s="100">
        <f>12800+600+600</f>
        <v>14000</v>
      </c>
      <c r="F162" s="158">
        <f t="shared" si="19"/>
        <v>0</v>
      </c>
      <c r="G162" s="103">
        <v>13964</v>
      </c>
      <c r="H162" s="159">
        <f t="shared" si="20"/>
        <v>36</v>
      </c>
      <c r="I162" s="160">
        <v>0</v>
      </c>
      <c r="J162" s="104"/>
      <c r="K162" s="104">
        <v>0</v>
      </c>
      <c r="L162" s="104">
        <v>0</v>
      </c>
      <c r="M162" s="161"/>
      <c r="N162" s="162">
        <f>M162*F162</f>
        <v>0</v>
      </c>
      <c r="O162" s="105"/>
    </row>
    <row r="163" spans="1:15" s="106" customFormat="1" ht="15.5" x14ac:dyDescent="0.35">
      <c r="A163" s="190">
        <v>140</v>
      </c>
      <c r="B163" s="97"/>
      <c r="C163" s="98" t="s">
        <v>116</v>
      </c>
      <c r="D163" s="167"/>
      <c r="E163" s="100"/>
      <c r="F163" s="158"/>
      <c r="G163" s="103"/>
      <c r="H163" s="159"/>
      <c r="I163" s="160">
        <v>0</v>
      </c>
      <c r="J163" s="104">
        <f>(K163+L163)*0.263</f>
        <v>6285.7000000000007</v>
      </c>
      <c r="K163" s="104">
        <f>400+500+300-300</f>
        <v>900</v>
      </c>
      <c r="L163" s="104">
        <f>7500+7500+8000+9300-9300</f>
        <v>23000</v>
      </c>
      <c r="M163" s="161"/>
      <c r="N163" s="162"/>
      <c r="O163" s="105"/>
    </row>
    <row r="164" spans="1:15" s="106" customFormat="1" ht="15.5" x14ac:dyDescent="0.35">
      <c r="A164" s="190">
        <v>141</v>
      </c>
      <c r="B164" s="97"/>
      <c r="C164" s="98">
        <v>45586</v>
      </c>
      <c r="D164" s="167">
        <v>9168</v>
      </c>
      <c r="E164" s="100">
        <v>9168</v>
      </c>
      <c r="F164" s="158">
        <f t="shared" si="19"/>
        <v>0</v>
      </c>
      <c r="G164" s="103">
        <v>9187</v>
      </c>
      <c r="H164" s="159">
        <f t="shared" si="20"/>
        <v>-19</v>
      </c>
      <c r="I164" s="160">
        <f>19*5.85</f>
        <v>111.14999999999999</v>
      </c>
      <c r="J164" s="104"/>
      <c r="K164" s="104">
        <v>0</v>
      </c>
      <c r="L164" s="104">
        <v>0</v>
      </c>
      <c r="M164" s="161"/>
      <c r="N164" s="162">
        <f>M164*F164</f>
        <v>0</v>
      </c>
      <c r="O164" s="105"/>
    </row>
    <row r="165" spans="1:15" ht="15.5" x14ac:dyDescent="0.35">
      <c r="A165" s="64" t="s">
        <v>61</v>
      </c>
      <c r="B165" s="18"/>
      <c r="C165" s="19"/>
      <c r="D165" s="65"/>
      <c r="E165" s="49"/>
      <c r="F165" s="22"/>
      <c r="G165" s="82"/>
      <c r="H165" s="83">
        <f t="shared" si="20"/>
        <v>0</v>
      </c>
      <c r="I165" s="160">
        <v>0</v>
      </c>
      <c r="J165" s="104"/>
      <c r="K165" s="104">
        <v>0</v>
      </c>
      <c r="L165" s="104">
        <v>0</v>
      </c>
      <c r="M165" s="139"/>
      <c r="N165" s="90"/>
      <c r="O165" s="4"/>
    </row>
    <row r="166" spans="1:15" ht="15.5" x14ac:dyDescent="0.35">
      <c r="A166" s="64">
        <v>144</v>
      </c>
      <c r="B166" s="18"/>
      <c r="C166" s="19"/>
      <c r="D166" s="65"/>
      <c r="E166" s="49"/>
      <c r="F166" s="22"/>
      <c r="G166" s="82"/>
      <c r="H166" s="83">
        <f t="shared" si="20"/>
        <v>0</v>
      </c>
      <c r="I166" s="160">
        <v>0</v>
      </c>
      <c r="J166" s="104"/>
      <c r="K166" s="104">
        <v>0</v>
      </c>
      <c r="L166" s="104">
        <v>0</v>
      </c>
      <c r="M166" s="139"/>
      <c r="N166" s="90"/>
      <c r="O166" s="4"/>
    </row>
    <row r="167" spans="1:15" s="106" customFormat="1" ht="15.5" x14ac:dyDescent="0.35">
      <c r="A167" s="190">
        <v>146</v>
      </c>
      <c r="B167" s="97"/>
      <c r="C167" s="98">
        <v>45576</v>
      </c>
      <c r="D167" s="196">
        <v>4581</v>
      </c>
      <c r="E167" s="100">
        <v>4581</v>
      </c>
      <c r="F167" s="158">
        <f t="shared" si="19"/>
        <v>0</v>
      </c>
      <c r="G167" s="103">
        <v>4552</v>
      </c>
      <c r="H167" s="159">
        <f t="shared" si="20"/>
        <v>29</v>
      </c>
      <c r="I167" s="160">
        <v>0</v>
      </c>
      <c r="J167" s="104"/>
      <c r="K167" s="104">
        <v>0</v>
      </c>
      <c r="L167" s="104">
        <v>0</v>
      </c>
      <c r="M167" s="161"/>
      <c r="N167" s="162"/>
      <c r="O167" s="105"/>
    </row>
    <row r="168" spans="1:15" s="106" customFormat="1" ht="15.5" x14ac:dyDescent="0.35">
      <c r="A168" s="190">
        <v>147</v>
      </c>
      <c r="B168" s="97"/>
      <c r="C168" s="98">
        <v>45665</v>
      </c>
      <c r="D168" s="167">
        <v>1868</v>
      </c>
      <c r="E168" s="100">
        <v>1868</v>
      </c>
      <c r="F168" s="158">
        <f t="shared" si="19"/>
        <v>0</v>
      </c>
      <c r="G168" s="103">
        <v>1868</v>
      </c>
      <c r="H168" s="159">
        <f t="shared" si="20"/>
        <v>0</v>
      </c>
      <c r="I168" s="160">
        <v>0</v>
      </c>
      <c r="J168" s="104">
        <v>78.900000000000006</v>
      </c>
      <c r="K168" s="104">
        <v>300</v>
      </c>
      <c r="L168" s="104">
        <v>0</v>
      </c>
      <c r="M168" s="161"/>
      <c r="N168" s="162">
        <f>M168*F168</f>
        <v>0</v>
      </c>
      <c r="O168" s="105"/>
    </row>
    <row r="169" spans="1:15" s="106" customFormat="1" ht="15.5" x14ac:dyDescent="0.35">
      <c r="A169" s="190" t="s">
        <v>121</v>
      </c>
      <c r="B169" s="97" t="s">
        <v>16</v>
      </c>
      <c r="C169" s="98"/>
      <c r="D169" s="196">
        <v>0</v>
      </c>
      <c r="E169" s="100">
        <v>0</v>
      </c>
      <c r="F169" s="158">
        <f t="shared" si="19"/>
        <v>0</v>
      </c>
      <c r="G169" s="103">
        <v>1612</v>
      </c>
      <c r="H169" s="159">
        <f t="shared" si="20"/>
        <v>-1612</v>
      </c>
      <c r="I169" s="160">
        <f>(1612*6.28)+(3.4*920)</f>
        <v>13251.36</v>
      </c>
      <c r="J169" s="104"/>
      <c r="K169" s="104">
        <v>0</v>
      </c>
      <c r="L169" s="104">
        <v>0</v>
      </c>
      <c r="M169" s="161"/>
      <c r="N169" s="162">
        <f>F169*M169</f>
        <v>0</v>
      </c>
      <c r="O169" s="105"/>
    </row>
    <row r="170" spans="1:15" s="106" customFormat="1" ht="15.5" x14ac:dyDescent="0.35">
      <c r="A170" s="190" t="s">
        <v>121</v>
      </c>
      <c r="B170" s="97" t="s">
        <v>29</v>
      </c>
      <c r="C170" s="98"/>
      <c r="D170" s="196">
        <v>0</v>
      </c>
      <c r="E170" s="100">
        <v>0</v>
      </c>
      <c r="F170" s="158"/>
      <c r="G170" s="103">
        <v>920</v>
      </c>
      <c r="H170" s="159">
        <f t="shared" si="20"/>
        <v>-920</v>
      </c>
      <c r="I170" s="160"/>
      <c r="J170" s="104"/>
      <c r="K170" s="104"/>
      <c r="L170" s="104"/>
      <c r="M170" s="161"/>
      <c r="N170" s="162"/>
      <c r="O170" s="105"/>
    </row>
    <row r="171" spans="1:15" ht="15.5" x14ac:dyDescent="0.35">
      <c r="A171" s="61">
        <v>149</v>
      </c>
      <c r="B171" s="9" t="s">
        <v>62</v>
      </c>
      <c r="C171" s="10">
        <v>45090</v>
      </c>
      <c r="D171" s="62">
        <v>5009</v>
      </c>
      <c r="E171" s="24">
        <v>5009</v>
      </c>
      <c r="F171" s="6">
        <f t="shared" si="19"/>
        <v>0</v>
      </c>
      <c r="G171" s="82"/>
      <c r="H171" s="83"/>
      <c r="I171" s="138"/>
      <c r="J171" s="93"/>
      <c r="K171" s="93"/>
      <c r="L171" s="93"/>
      <c r="M171" s="139"/>
      <c r="N171" s="90"/>
      <c r="O171" s="4"/>
    </row>
    <row r="172" spans="1:15" s="106" customFormat="1" ht="15.5" x14ac:dyDescent="0.35">
      <c r="A172" s="190">
        <v>150</v>
      </c>
      <c r="B172" s="97" t="s">
        <v>63</v>
      </c>
      <c r="C172" s="98">
        <v>45530</v>
      </c>
      <c r="D172" s="167">
        <v>17176</v>
      </c>
      <c r="E172" s="167">
        <v>17176</v>
      </c>
      <c r="F172" s="158">
        <f t="shared" si="19"/>
        <v>0</v>
      </c>
      <c r="G172" s="103">
        <v>16165</v>
      </c>
      <c r="H172" s="159">
        <f t="shared" ref="H172:H180" si="21">D172-G172</f>
        <v>1011</v>
      </c>
      <c r="I172" s="160">
        <v>0</v>
      </c>
      <c r="J172" s="104">
        <v>78.900000000000006</v>
      </c>
      <c r="K172" s="104">
        <v>300</v>
      </c>
      <c r="L172" s="104">
        <v>0</v>
      </c>
      <c r="M172" s="161"/>
      <c r="N172" s="162"/>
      <c r="O172" s="105"/>
    </row>
    <row r="173" spans="1:15" s="106" customFormat="1" ht="15.5" x14ac:dyDescent="0.35">
      <c r="A173" s="190" t="s">
        <v>64</v>
      </c>
      <c r="B173" s="97"/>
      <c r="C173" s="98">
        <v>44763</v>
      </c>
      <c r="D173" s="167">
        <v>1664</v>
      </c>
      <c r="E173" s="100">
        <v>1664</v>
      </c>
      <c r="F173" s="158">
        <f t="shared" si="19"/>
        <v>0</v>
      </c>
      <c r="G173" s="103">
        <v>1444</v>
      </c>
      <c r="H173" s="159">
        <f t="shared" si="21"/>
        <v>220</v>
      </c>
      <c r="I173" s="160">
        <v>0</v>
      </c>
      <c r="J173" s="104">
        <f>L173*0.263</f>
        <v>52.6</v>
      </c>
      <c r="K173" s="104">
        <v>0</v>
      </c>
      <c r="L173" s="104">
        <v>200</v>
      </c>
      <c r="M173" s="161"/>
      <c r="N173" s="162"/>
      <c r="O173" s="105"/>
    </row>
    <row r="174" spans="1:15" s="106" customFormat="1" ht="15.5" x14ac:dyDescent="0.35">
      <c r="A174" s="190" t="s">
        <v>65</v>
      </c>
      <c r="B174" s="97"/>
      <c r="C174" s="98">
        <v>45637</v>
      </c>
      <c r="D174" s="196">
        <f>4830+500</f>
        <v>5330</v>
      </c>
      <c r="E174" s="100">
        <f>4830+500</f>
        <v>5330</v>
      </c>
      <c r="F174" s="158">
        <f t="shared" si="19"/>
        <v>0</v>
      </c>
      <c r="G174" s="103">
        <v>4670</v>
      </c>
      <c r="H174" s="159">
        <f t="shared" si="21"/>
        <v>660</v>
      </c>
      <c r="I174" s="160">
        <v>0</v>
      </c>
      <c r="J174" s="104"/>
      <c r="K174" s="104">
        <v>0</v>
      </c>
      <c r="L174" s="104">
        <v>0</v>
      </c>
      <c r="M174" s="161"/>
      <c r="N174" s="162">
        <f>F174*M174</f>
        <v>0</v>
      </c>
      <c r="O174" s="105"/>
    </row>
    <row r="175" spans="1:15" s="106" customFormat="1" ht="15.5" x14ac:dyDescent="0.35">
      <c r="A175" s="190" t="s">
        <v>66</v>
      </c>
      <c r="B175" s="97"/>
      <c r="C175" s="98">
        <v>45537</v>
      </c>
      <c r="D175" s="196">
        <v>13500</v>
      </c>
      <c r="E175" s="100">
        <v>13500</v>
      </c>
      <c r="F175" s="158">
        <f t="shared" si="19"/>
        <v>0</v>
      </c>
      <c r="G175" s="103">
        <v>12590</v>
      </c>
      <c r="H175" s="159">
        <f t="shared" si="21"/>
        <v>910</v>
      </c>
      <c r="I175" s="160">
        <v>0</v>
      </c>
      <c r="J175" s="104"/>
      <c r="K175" s="104">
        <v>0</v>
      </c>
      <c r="L175" s="104">
        <v>0</v>
      </c>
      <c r="M175" s="161"/>
      <c r="N175" s="162">
        <f>F175*M175</f>
        <v>0</v>
      </c>
      <c r="O175" s="105"/>
    </row>
    <row r="176" spans="1:15" s="106" customFormat="1" ht="15.5" x14ac:dyDescent="0.35">
      <c r="A176" s="190">
        <v>156</v>
      </c>
      <c r="B176" s="97"/>
      <c r="C176" s="98">
        <v>45587</v>
      </c>
      <c r="D176" s="167">
        <v>2324</v>
      </c>
      <c r="E176" s="100">
        <v>2324</v>
      </c>
      <c r="F176" s="158">
        <f t="shared" si="19"/>
        <v>0</v>
      </c>
      <c r="G176" s="103">
        <v>1090</v>
      </c>
      <c r="H176" s="159">
        <f t="shared" si="21"/>
        <v>1234</v>
      </c>
      <c r="I176" s="160">
        <v>0</v>
      </c>
      <c r="J176" s="104"/>
      <c r="K176" s="104">
        <v>0</v>
      </c>
      <c r="L176" s="104">
        <v>0</v>
      </c>
      <c r="M176" s="161"/>
      <c r="N176" s="162"/>
      <c r="O176" s="105"/>
    </row>
    <row r="177" spans="1:15" s="106" customFormat="1" ht="15.5" x14ac:dyDescent="0.35">
      <c r="A177" s="190">
        <v>157</v>
      </c>
      <c r="B177" s="97" t="s">
        <v>67</v>
      </c>
      <c r="C177" s="98">
        <v>45824</v>
      </c>
      <c r="D177" s="167">
        <f>1759+59+46+262+86+83+92+55+92+37+359+34</f>
        <v>2964</v>
      </c>
      <c r="E177" s="100">
        <f>D177</f>
        <v>2964</v>
      </c>
      <c r="F177" s="158">
        <v>0</v>
      </c>
      <c r="G177" s="103">
        <v>3308</v>
      </c>
      <c r="H177" s="159">
        <f t="shared" si="21"/>
        <v>-344</v>
      </c>
      <c r="I177" s="160">
        <f>344*5.85</f>
        <v>2012.3999999999999</v>
      </c>
      <c r="J177" s="104"/>
      <c r="K177" s="104">
        <v>0</v>
      </c>
      <c r="L177" s="104">
        <v>0</v>
      </c>
      <c r="M177" s="161"/>
      <c r="N177" s="162"/>
      <c r="O177" s="105"/>
    </row>
    <row r="178" spans="1:15" s="106" customFormat="1" ht="15.5" x14ac:dyDescent="0.35">
      <c r="A178" s="190">
        <v>158</v>
      </c>
      <c r="B178" s="97"/>
      <c r="C178" s="98">
        <v>45467</v>
      </c>
      <c r="D178" s="196">
        <v>9556</v>
      </c>
      <c r="E178" s="100"/>
      <c r="F178" s="158"/>
      <c r="G178" s="103">
        <v>10039</v>
      </c>
      <c r="H178" s="159">
        <f t="shared" si="21"/>
        <v>-483</v>
      </c>
      <c r="I178" s="160">
        <f>483*5.85</f>
        <v>2825.5499999999997</v>
      </c>
      <c r="J178" s="104"/>
      <c r="K178" s="104">
        <v>0</v>
      </c>
      <c r="L178" s="104">
        <v>0</v>
      </c>
      <c r="M178" s="161"/>
      <c r="N178" s="162"/>
      <c r="O178" s="105"/>
    </row>
    <row r="179" spans="1:15" ht="15.5" x14ac:dyDescent="0.35">
      <c r="A179" s="64">
        <v>159</v>
      </c>
      <c r="B179" s="18"/>
      <c r="C179" s="19"/>
      <c r="D179" s="65"/>
      <c r="E179" s="49"/>
      <c r="F179" s="22"/>
      <c r="G179" s="82"/>
      <c r="H179" s="83">
        <f t="shared" si="21"/>
        <v>0</v>
      </c>
      <c r="I179" s="160">
        <v>0</v>
      </c>
      <c r="J179" s="104"/>
      <c r="K179" s="104">
        <v>0</v>
      </c>
      <c r="L179" s="104">
        <v>0</v>
      </c>
      <c r="M179" s="139"/>
      <c r="N179" s="90"/>
      <c r="O179" s="4"/>
    </row>
    <row r="180" spans="1:15" s="106" customFormat="1" ht="15.5" x14ac:dyDescent="0.35">
      <c r="A180" s="190">
        <v>160</v>
      </c>
      <c r="B180" s="97" t="s">
        <v>13</v>
      </c>
      <c r="C180" s="98">
        <v>45646</v>
      </c>
      <c r="D180" s="167">
        <f>6858+148+180+335</f>
        <v>7521</v>
      </c>
      <c r="E180" s="167">
        <v>7521</v>
      </c>
      <c r="F180" s="158">
        <v>0</v>
      </c>
      <c r="G180" s="103">
        <v>7045</v>
      </c>
      <c r="H180" s="159">
        <f t="shared" si="21"/>
        <v>476</v>
      </c>
      <c r="I180" s="160">
        <v>0</v>
      </c>
      <c r="J180" s="104"/>
      <c r="K180" s="104">
        <v>0</v>
      </c>
      <c r="L180" s="104">
        <v>0</v>
      </c>
      <c r="M180" s="161"/>
      <c r="N180" s="162"/>
      <c r="O180" s="105"/>
    </row>
    <row r="181" spans="1:15" ht="15.5" x14ac:dyDescent="0.35">
      <c r="A181" s="61">
        <v>160</v>
      </c>
      <c r="B181" s="9" t="s">
        <v>68</v>
      </c>
      <c r="C181" s="10">
        <v>45646</v>
      </c>
      <c r="D181" s="168">
        <v>12305</v>
      </c>
      <c r="E181" s="24">
        <v>12305</v>
      </c>
      <c r="F181" s="6">
        <f>E181-D181</f>
        <v>0</v>
      </c>
      <c r="G181" s="82"/>
      <c r="H181" s="83"/>
      <c r="I181" s="138"/>
      <c r="J181" s="93"/>
      <c r="K181" s="93"/>
      <c r="L181" s="93"/>
      <c r="M181" s="139"/>
      <c r="N181" s="90">
        <f>F181*M181</f>
        <v>0</v>
      </c>
      <c r="O181" s="4"/>
    </row>
    <row r="182" spans="1:15" s="106" customFormat="1" ht="15.5" x14ac:dyDescent="0.35">
      <c r="A182" s="190">
        <v>161</v>
      </c>
      <c r="B182" s="97" t="s">
        <v>14</v>
      </c>
      <c r="C182" s="98">
        <v>45586</v>
      </c>
      <c r="D182" s="167">
        <v>3873</v>
      </c>
      <c r="E182" s="100">
        <v>3873</v>
      </c>
      <c r="F182" s="158">
        <f>D182-E182</f>
        <v>0</v>
      </c>
      <c r="G182" s="103">
        <v>3754</v>
      </c>
      <c r="H182" s="159">
        <f>D182-G182</f>
        <v>119</v>
      </c>
      <c r="I182" s="160">
        <v>0</v>
      </c>
      <c r="J182" s="104">
        <v>78.900000000000006</v>
      </c>
      <c r="K182" s="104">
        <v>300</v>
      </c>
      <c r="L182" s="104">
        <v>0</v>
      </c>
      <c r="M182" s="161"/>
      <c r="N182" s="162"/>
      <c r="O182" s="105"/>
    </row>
    <row r="183" spans="1:15" ht="15.5" x14ac:dyDescent="0.35">
      <c r="A183" s="61">
        <v>162</v>
      </c>
      <c r="B183" s="66" t="s">
        <v>14</v>
      </c>
      <c r="C183" s="10">
        <v>45810</v>
      </c>
      <c r="D183" s="62">
        <v>10831</v>
      </c>
      <c r="E183" s="24">
        <v>10831</v>
      </c>
      <c r="F183" s="6">
        <f>E183-D183</f>
        <v>0</v>
      </c>
      <c r="G183" s="82"/>
      <c r="H183" s="83"/>
      <c r="I183" s="138"/>
      <c r="J183" s="93"/>
      <c r="K183" s="93"/>
      <c r="L183" s="93"/>
      <c r="M183" s="139"/>
      <c r="N183" s="90">
        <f>F183*M183</f>
        <v>0</v>
      </c>
      <c r="O183" s="4"/>
    </row>
    <row r="184" spans="1:15" s="106" customFormat="1" ht="15.5" x14ac:dyDescent="0.35">
      <c r="A184" s="190">
        <v>162</v>
      </c>
      <c r="B184" s="97"/>
      <c r="C184" s="98">
        <v>45810</v>
      </c>
      <c r="D184" s="196">
        <f>141+4316</f>
        <v>4457</v>
      </c>
      <c r="E184" s="100">
        <v>4457</v>
      </c>
      <c r="F184" s="158">
        <v>0</v>
      </c>
      <c r="G184" s="103">
        <v>3516</v>
      </c>
      <c r="H184" s="159">
        <f>D184-G184</f>
        <v>941</v>
      </c>
      <c r="I184" s="160">
        <v>0</v>
      </c>
      <c r="J184" s="104">
        <v>78.900000000000006</v>
      </c>
      <c r="K184" s="104">
        <v>300</v>
      </c>
      <c r="L184" s="104">
        <v>0</v>
      </c>
      <c r="M184" s="161"/>
      <c r="N184" s="162">
        <f>M184*F184</f>
        <v>0</v>
      </c>
      <c r="O184" s="105"/>
    </row>
    <row r="185" spans="1:15" ht="15.5" x14ac:dyDescent="0.35">
      <c r="A185" s="64">
        <v>163</v>
      </c>
      <c r="B185" s="18"/>
      <c r="C185" s="19">
        <v>44598</v>
      </c>
      <c r="D185" s="67"/>
      <c r="E185" s="49"/>
      <c r="F185" s="22"/>
      <c r="G185" s="85"/>
      <c r="H185" s="126"/>
      <c r="I185" s="160">
        <v>0</v>
      </c>
      <c r="J185" s="104">
        <v>78.900000000000006</v>
      </c>
      <c r="K185" s="104">
        <v>300</v>
      </c>
      <c r="L185" s="104">
        <v>0</v>
      </c>
      <c r="M185" s="139"/>
      <c r="N185" s="133"/>
      <c r="O185" s="86"/>
    </row>
    <row r="186" spans="1:15" s="106" customFormat="1" ht="15.5" x14ac:dyDescent="0.35">
      <c r="A186" s="190">
        <v>164</v>
      </c>
      <c r="B186" s="97"/>
      <c r="C186" s="98"/>
      <c r="D186" s="196">
        <v>0</v>
      </c>
      <c r="E186" s="100"/>
      <c r="F186" s="158"/>
      <c r="G186" s="103">
        <v>1186</v>
      </c>
      <c r="H186" s="159">
        <f>D186-G186</f>
        <v>-1186</v>
      </c>
      <c r="I186" s="160">
        <f>1186*5.85</f>
        <v>6938.0999999999995</v>
      </c>
      <c r="J186" s="104">
        <f>1600*0.263</f>
        <v>420.8</v>
      </c>
      <c r="K186" s="104">
        <v>800</v>
      </c>
      <c r="L186" s="104">
        <v>800</v>
      </c>
      <c r="M186" s="161"/>
      <c r="N186" s="162"/>
      <c r="O186" s="105"/>
    </row>
    <row r="187" spans="1:15" s="106" customFormat="1" ht="15.5" x14ac:dyDescent="0.35">
      <c r="A187" s="190">
        <v>166</v>
      </c>
      <c r="B187" s="97"/>
      <c r="C187" s="98">
        <v>45565</v>
      </c>
      <c r="D187" s="167">
        <v>8373</v>
      </c>
      <c r="E187" s="100">
        <f>7317+372</f>
        <v>7689</v>
      </c>
      <c r="F187" s="158">
        <v>0</v>
      </c>
      <c r="G187" s="103">
        <v>7839</v>
      </c>
      <c r="H187" s="159">
        <f>D187-G187</f>
        <v>534</v>
      </c>
      <c r="I187" s="160">
        <v>0</v>
      </c>
      <c r="J187" s="104"/>
      <c r="K187" s="104">
        <v>0</v>
      </c>
      <c r="L187" s="104">
        <v>0</v>
      </c>
      <c r="M187" s="161"/>
      <c r="N187" s="162"/>
      <c r="O187" s="105"/>
    </row>
    <row r="188" spans="1:15" s="106" customFormat="1" ht="15.5" x14ac:dyDescent="0.35">
      <c r="A188" s="190">
        <v>167</v>
      </c>
      <c r="B188" s="97"/>
      <c r="C188" s="163" t="s">
        <v>69</v>
      </c>
      <c r="D188" s="167"/>
      <c r="E188" s="100"/>
      <c r="F188" s="158"/>
      <c r="G188" s="103"/>
      <c r="H188" s="159"/>
      <c r="I188" s="160">
        <v>0</v>
      </c>
      <c r="J188" s="104">
        <f>(K188+L188)*0.263</f>
        <v>2524.8000000000002</v>
      </c>
      <c r="K188" s="104">
        <v>300</v>
      </c>
      <c r="L188" s="104">
        <v>9300</v>
      </c>
      <c r="M188" s="161"/>
      <c r="N188" s="162"/>
      <c r="O188" s="105"/>
    </row>
    <row r="189" spans="1:15" s="106" customFormat="1" ht="15.5" x14ac:dyDescent="0.35">
      <c r="A189" s="190">
        <v>168</v>
      </c>
      <c r="B189" s="97" t="s">
        <v>70</v>
      </c>
      <c r="C189" s="98">
        <v>45803</v>
      </c>
      <c r="D189" s="196">
        <f>23870+200+200+1100+1000</f>
        <v>26370</v>
      </c>
      <c r="E189" s="192">
        <f>D189</f>
        <v>26370</v>
      </c>
      <c r="F189" s="158">
        <f>E189-D189</f>
        <v>0</v>
      </c>
      <c r="G189" s="103">
        <v>25732</v>
      </c>
      <c r="H189" s="159">
        <f>D189-G189</f>
        <v>638</v>
      </c>
      <c r="I189" s="160">
        <v>0</v>
      </c>
      <c r="J189" s="104"/>
      <c r="K189" s="104">
        <v>0</v>
      </c>
      <c r="L189" s="104">
        <v>0</v>
      </c>
      <c r="M189" s="161"/>
      <c r="N189" s="162"/>
      <c r="O189" s="105"/>
    </row>
    <row r="190" spans="1:15" ht="15.5" x14ac:dyDescent="0.35">
      <c r="A190" s="61">
        <v>168</v>
      </c>
      <c r="B190" s="9" t="s">
        <v>30</v>
      </c>
      <c r="C190" s="10">
        <v>45419</v>
      </c>
      <c r="D190" s="62">
        <f>24200+200+1100</f>
        <v>25500</v>
      </c>
      <c r="E190" s="24">
        <f>D190</f>
        <v>25500</v>
      </c>
      <c r="F190" s="6">
        <f>E190-D190</f>
        <v>0</v>
      </c>
      <c r="G190" s="82"/>
      <c r="H190" s="83"/>
      <c r="I190" s="138"/>
      <c r="J190" s="93"/>
      <c r="K190" s="93"/>
      <c r="L190" s="93"/>
      <c r="M190" s="139"/>
      <c r="N190" s="90">
        <f>F190*M190</f>
        <v>0</v>
      </c>
      <c r="O190" s="4"/>
    </row>
    <row r="191" spans="1:15" s="106" customFormat="1" ht="15.5" x14ac:dyDescent="0.35">
      <c r="A191" s="190">
        <v>169</v>
      </c>
      <c r="B191" s="97"/>
      <c r="C191" s="98">
        <v>44183</v>
      </c>
      <c r="D191" s="167">
        <v>127</v>
      </c>
      <c r="E191" s="100">
        <v>50</v>
      </c>
      <c r="F191" s="158">
        <f t="shared" ref="F191:F202" si="22">E191-D191</f>
        <v>-77</v>
      </c>
      <c r="G191" s="103">
        <v>50</v>
      </c>
      <c r="H191" s="159">
        <f>D191-G191</f>
        <v>77</v>
      </c>
      <c r="I191" s="160">
        <v>0</v>
      </c>
      <c r="J191" s="104">
        <f>(K191+L191)*0.263</f>
        <v>4760.3</v>
      </c>
      <c r="K191" s="104">
        <v>800</v>
      </c>
      <c r="L191" s="104">
        <f>8000+9300</f>
        <v>17300</v>
      </c>
      <c r="M191" s="241"/>
      <c r="N191" s="242"/>
      <c r="O191" s="243"/>
    </row>
    <row r="192" spans="1:15" s="106" customFormat="1" ht="15.5" x14ac:dyDescent="0.35">
      <c r="A192" s="190">
        <v>170</v>
      </c>
      <c r="B192" s="97"/>
      <c r="C192" s="98">
        <v>45488</v>
      </c>
      <c r="D192" s="167">
        <v>5460</v>
      </c>
      <c r="E192" s="100">
        <v>5460</v>
      </c>
      <c r="F192" s="158">
        <f t="shared" si="22"/>
        <v>0</v>
      </c>
      <c r="G192" s="103">
        <v>5459</v>
      </c>
      <c r="H192" s="159">
        <f>D192-G192</f>
        <v>1</v>
      </c>
      <c r="I192" s="160">
        <v>0</v>
      </c>
      <c r="J192" s="104">
        <v>78.900000000000006</v>
      </c>
      <c r="K192" s="104">
        <v>300</v>
      </c>
      <c r="L192" s="104">
        <v>0</v>
      </c>
      <c r="M192" s="161"/>
      <c r="N192" s="162"/>
      <c r="O192" s="105"/>
    </row>
    <row r="193" spans="1:15" s="106" customFormat="1" ht="15.5" x14ac:dyDescent="0.35">
      <c r="A193" s="190">
        <v>171</v>
      </c>
      <c r="B193" s="97" t="s">
        <v>13</v>
      </c>
      <c r="C193" s="98">
        <v>45616</v>
      </c>
      <c r="D193" s="167">
        <v>3122</v>
      </c>
      <c r="E193" s="100">
        <v>3122</v>
      </c>
      <c r="F193" s="158">
        <f>E193-D193</f>
        <v>0</v>
      </c>
      <c r="G193" s="103">
        <v>3118</v>
      </c>
      <c r="H193" s="159">
        <f>D193-G193</f>
        <v>4</v>
      </c>
      <c r="I193" s="160">
        <v>0</v>
      </c>
      <c r="J193" s="104"/>
      <c r="K193" s="104">
        <v>0</v>
      </c>
      <c r="L193" s="104">
        <v>0</v>
      </c>
      <c r="M193" s="161"/>
      <c r="N193" s="162">
        <f>M193*F193</f>
        <v>0</v>
      </c>
      <c r="O193" s="105"/>
    </row>
    <row r="194" spans="1:15" s="106" customFormat="1" ht="15.5" x14ac:dyDescent="0.35">
      <c r="A194" s="190" t="s">
        <v>71</v>
      </c>
      <c r="B194" s="97"/>
      <c r="C194" s="98">
        <v>45818</v>
      </c>
      <c r="D194" s="196">
        <f>4175+61+31</f>
        <v>4267</v>
      </c>
      <c r="E194" s="100">
        <f>4175+61+31</f>
        <v>4267</v>
      </c>
      <c r="F194" s="158">
        <f t="shared" si="22"/>
        <v>0</v>
      </c>
      <c r="G194" s="103">
        <v>4159</v>
      </c>
      <c r="H194" s="159">
        <f>D194-G194</f>
        <v>108</v>
      </c>
      <c r="I194" s="160">
        <v>0</v>
      </c>
      <c r="J194" s="104"/>
      <c r="K194" s="104">
        <v>0</v>
      </c>
      <c r="L194" s="104">
        <v>0</v>
      </c>
      <c r="M194" s="161"/>
      <c r="N194" s="162"/>
      <c r="O194" s="105"/>
    </row>
    <row r="195" spans="1:15" s="106" customFormat="1" ht="15.5" x14ac:dyDescent="0.35">
      <c r="A195" s="190">
        <v>174</v>
      </c>
      <c r="B195" s="97"/>
      <c r="C195" s="98" t="s">
        <v>116</v>
      </c>
      <c r="D195" s="196"/>
      <c r="E195" s="100"/>
      <c r="F195" s="158"/>
      <c r="G195" s="103"/>
      <c r="H195" s="159"/>
      <c r="I195" s="160">
        <v>0</v>
      </c>
      <c r="J195" s="104"/>
      <c r="K195" s="104">
        <v>0</v>
      </c>
      <c r="L195" s="104">
        <v>0</v>
      </c>
      <c r="M195" s="161"/>
      <c r="N195" s="162"/>
      <c r="O195" s="105"/>
    </row>
    <row r="196" spans="1:15" ht="15.5" x14ac:dyDescent="0.35">
      <c r="A196" s="61">
        <v>175</v>
      </c>
      <c r="B196" s="9" t="s">
        <v>30</v>
      </c>
      <c r="C196" s="10">
        <v>45590</v>
      </c>
      <c r="D196" s="62">
        <v>8200</v>
      </c>
      <c r="E196" s="24">
        <v>8200</v>
      </c>
      <c r="F196" s="6">
        <f t="shared" si="22"/>
        <v>0</v>
      </c>
      <c r="G196" s="82"/>
      <c r="H196" s="83"/>
      <c r="I196" s="138"/>
      <c r="J196" s="93"/>
      <c r="K196" s="93"/>
      <c r="L196" s="93"/>
      <c r="M196" s="139"/>
      <c r="N196" s="90">
        <f>F196*M196</f>
        <v>0</v>
      </c>
      <c r="O196" s="4"/>
    </row>
    <row r="197" spans="1:15" s="106" customFormat="1" ht="15.5" x14ac:dyDescent="0.35">
      <c r="A197" s="190">
        <v>175</v>
      </c>
      <c r="B197" s="97" t="s">
        <v>13</v>
      </c>
      <c r="C197" s="98">
        <v>45590</v>
      </c>
      <c r="D197" s="196">
        <f>6948+764</f>
        <v>7712</v>
      </c>
      <c r="E197" s="100">
        <f>6948+764</f>
        <v>7712</v>
      </c>
      <c r="F197" s="158">
        <f t="shared" si="22"/>
        <v>0</v>
      </c>
      <c r="G197" s="103">
        <v>7877</v>
      </c>
      <c r="H197" s="159">
        <f>D197-G197</f>
        <v>-165</v>
      </c>
      <c r="I197" s="160">
        <v>0</v>
      </c>
      <c r="J197" s="104"/>
      <c r="K197" s="104">
        <v>0</v>
      </c>
      <c r="L197" s="104">
        <v>0</v>
      </c>
      <c r="M197" s="161"/>
      <c r="N197" s="162"/>
      <c r="O197" s="105"/>
    </row>
    <row r="198" spans="1:15" ht="15.5" x14ac:dyDescent="0.35">
      <c r="A198" s="61">
        <v>176</v>
      </c>
      <c r="B198" s="9" t="s">
        <v>16</v>
      </c>
      <c r="C198" s="10">
        <v>45792</v>
      </c>
      <c r="D198" s="68">
        <v>35564</v>
      </c>
      <c r="E198" s="24">
        <v>35564</v>
      </c>
      <c r="F198" s="6">
        <f t="shared" si="22"/>
        <v>0</v>
      </c>
      <c r="G198" s="82"/>
      <c r="H198" s="159"/>
      <c r="I198" s="138"/>
      <c r="J198" s="93"/>
      <c r="K198" s="93"/>
      <c r="L198" s="93"/>
      <c r="M198" s="139"/>
      <c r="N198" s="90">
        <f>F198*M198</f>
        <v>0</v>
      </c>
      <c r="O198" s="4"/>
    </row>
    <row r="199" spans="1:15" ht="15.5" x14ac:dyDescent="0.35">
      <c r="A199" s="61">
        <v>176</v>
      </c>
      <c r="B199" s="9" t="s">
        <v>29</v>
      </c>
      <c r="C199" s="10">
        <v>45792</v>
      </c>
      <c r="D199" s="62">
        <v>14200</v>
      </c>
      <c r="E199" s="24">
        <v>14200</v>
      </c>
      <c r="F199" s="6">
        <f t="shared" si="22"/>
        <v>0</v>
      </c>
      <c r="G199" s="82"/>
      <c r="H199" s="159"/>
      <c r="I199" s="138"/>
      <c r="J199" s="93"/>
      <c r="K199" s="93"/>
      <c r="L199" s="93"/>
      <c r="M199" s="139"/>
      <c r="N199" s="90">
        <f>F199*M199</f>
        <v>0</v>
      </c>
      <c r="O199" s="4">
        <f>N198+N199</f>
        <v>0</v>
      </c>
    </row>
    <row r="200" spans="1:15" s="106" customFormat="1" ht="15.5" x14ac:dyDescent="0.35">
      <c r="A200" s="190">
        <v>176</v>
      </c>
      <c r="B200" s="97"/>
      <c r="C200" s="98">
        <v>45792</v>
      </c>
      <c r="D200" s="196">
        <f>60202+1123+556+460+214+453+230</f>
        <v>63238</v>
      </c>
      <c r="E200" s="100">
        <f>D200</f>
        <v>63238</v>
      </c>
      <c r="F200" s="158">
        <f t="shared" si="22"/>
        <v>0</v>
      </c>
      <c r="G200" s="103">
        <v>62303</v>
      </c>
      <c r="H200" s="159">
        <f>D200-G200</f>
        <v>935</v>
      </c>
      <c r="I200" s="160">
        <v>0</v>
      </c>
      <c r="J200" s="104"/>
      <c r="K200" s="104">
        <v>0</v>
      </c>
      <c r="L200" s="104">
        <v>0</v>
      </c>
      <c r="M200" s="161"/>
      <c r="N200" s="162"/>
      <c r="O200" s="105"/>
    </row>
    <row r="201" spans="1:15" s="106" customFormat="1" ht="15.5" x14ac:dyDescent="0.35">
      <c r="A201" s="190">
        <v>283</v>
      </c>
      <c r="B201" s="97" t="s">
        <v>103</v>
      </c>
      <c r="C201" s="98">
        <v>45579</v>
      </c>
      <c r="D201" s="167">
        <f>7485+500</f>
        <v>7985</v>
      </c>
      <c r="E201" s="100">
        <f>7185+300+500</f>
        <v>7985</v>
      </c>
      <c r="F201" s="158">
        <f>D201-E201</f>
        <v>0</v>
      </c>
      <c r="G201" s="103">
        <v>7653</v>
      </c>
      <c r="H201" s="159">
        <f>D201-G201</f>
        <v>332</v>
      </c>
      <c r="I201" s="160">
        <v>0</v>
      </c>
      <c r="J201" s="104"/>
      <c r="K201" s="104">
        <v>0</v>
      </c>
      <c r="L201" s="104">
        <v>0</v>
      </c>
      <c r="M201" s="161"/>
      <c r="N201" s="162"/>
      <c r="O201" s="105"/>
    </row>
    <row r="202" spans="1:15" ht="15.5" x14ac:dyDescent="0.35">
      <c r="A202" s="61">
        <v>283</v>
      </c>
      <c r="B202" s="9" t="s">
        <v>14</v>
      </c>
      <c r="C202" s="10">
        <v>45579</v>
      </c>
      <c r="D202" s="63">
        <v>5600</v>
      </c>
      <c r="E202" s="24">
        <v>5600</v>
      </c>
      <c r="F202" s="6">
        <f t="shared" si="22"/>
        <v>0</v>
      </c>
      <c r="G202" s="82"/>
      <c r="H202" s="83"/>
      <c r="I202" s="138"/>
      <c r="J202" s="93"/>
      <c r="K202" s="93"/>
      <c r="L202" s="93"/>
      <c r="M202" s="139"/>
      <c r="N202" s="90">
        <f>M202*F202</f>
        <v>0</v>
      </c>
      <c r="O202" s="4"/>
    </row>
    <row r="203" spans="1:15" ht="15.5" x14ac:dyDescent="0.35">
      <c r="A203" s="251" t="s">
        <v>72</v>
      </c>
      <c r="B203" s="252"/>
      <c r="C203" s="253"/>
      <c r="D203" s="69"/>
      <c r="E203" s="5"/>
      <c r="F203" s="5"/>
      <c r="G203" s="82"/>
      <c r="H203" s="83"/>
      <c r="I203" s="138"/>
      <c r="J203" s="93"/>
      <c r="K203" s="93"/>
      <c r="L203" s="93"/>
      <c r="M203" s="139"/>
      <c r="N203" s="90"/>
      <c r="O203" s="4"/>
    </row>
    <row r="204" spans="1:15" s="106" customFormat="1" ht="15.5" x14ac:dyDescent="0.35">
      <c r="A204" s="165">
        <v>177</v>
      </c>
      <c r="B204" s="97"/>
      <c r="C204" s="98">
        <v>45596</v>
      </c>
      <c r="D204" s="167">
        <v>2264</v>
      </c>
      <c r="E204" s="100">
        <v>2264</v>
      </c>
      <c r="F204" s="158">
        <f>E204-D204</f>
        <v>0</v>
      </c>
      <c r="G204" s="103">
        <v>2807</v>
      </c>
      <c r="H204" s="159">
        <f>D204-G204</f>
        <v>-543</v>
      </c>
      <c r="I204" s="160">
        <f>543*5.85</f>
        <v>3176.5499999999997</v>
      </c>
      <c r="J204" s="104"/>
      <c r="K204" s="104">
        <v>0</v>
      </c>
      <c r="L204" s="104">
        <v>0</v>
      </c>
      <c r="M204" s="161"/>
      <c r="N204" s="162"/>
      <c r="O204" s="105"/>
    </row>
    <row r="205" spans="1:15" s="106" customFormat="1" ht="15.5" x14ac:dyDescent="0.35">
      <c r="A205" s="165">
        <v>178</v>
      </c>
      <c r="B205" s="97" t="s">
        <v>119</v>
      </c>
      <c r="C205" s="98"/>
      <c r="D205" s="167"/>
      <c r="E205" s="100"/>
      <c r="F205" s="158"/>
      <c r="G205" s="103"/>
      <c r="H205" s="159"/>
      <c r="I205" s="160">
        <v>0</v>
      </c>
      <c r="J205" s="104"/>
      <c r="K205" s="104">
        <v>0</v>
      </c>
      <c r="L205" s="104">
        <v>0</v>
      </c>
      <c r="M205" s="161"/>
      <c r="N205" s="162"/>
      <c r="O205" s="105"/>
    </row>
    <row r="206" spans="1:15" s="106" customFormat="1" ht="15.5" x14ac:dyDescent="0.35">
      <c r="A206" s="165">
        <v>179</v>
      </c>
      <c r="B206" s="97" t="s">
        <v>73</v>
      </c>
      <c r="C206" s="98">
        <v>45488</v>
      </c>
      <c r="D206" s="167">
        <v>4770</v>
      </c>
      <c r="E206" s="100">
        <v>4770</v>
      </c>
      <c r="F206" s="158">
        <v>0</v>
      </c>
      <c r="G206" s="103">
        <v>4770</v>
      </c>
      <c r="H206" s="159">
        <f>D206-G206</f>
        <v>0</v>
      </c>
      <c r="I206" s="160">
        <v>0</v>
      </c>
      <c r="J206" s="104"/>
      <c r="K206" s="104">
        <v>0</v>
      </c>
      <c r="L206" s="104">
        <v>0</v>
      </c>
      <c r="M206" s="161"/>
      <c r="N206" s="162"/>
      <c r="O206" s="105"/>
    </row>
    <row r="207" spans="1:15" s="106" customFormat="1" ht="15.5" x14ac:dyDescent="0.35">
      <c r="A207" s="165">
        <v>180</v>
      </c>
      <c r="B207" s="97"/>
      <c r="C207" s="98">
        <v>45446</v>
      </c>
      <c r="D207" s="167">
        <v>3904</v>
      </c>
      <c r="E207" s="100">
        <v>3904</v>
      </c>
      <c r="F207" s="158">
        <f>E207-D207</f>
        <v>0</v>
      </c>
      <c r="G207" s="103">
        <v>3904</v>
      </c>
      <c r="H207" s="159">
        <v>0</v>
      </c>
      <c r="I207" s="160">
        <v>0</v>
      </c>
      <c r="J207" s="104"/>
      <c r="K207" s="104">
        <v>0</v>
      </c>
      <c r="L207" s="104">
        <v>0</v>
      </c>
      <c r="M207" s="161"/>
      <c r="N207" s="162">
        <f>M207*F207</f>
        <v>0</v>
      </c>
      <c r="O207" s="105"/>
    </row>
    <row r="208" spans="1:15" ht="15.5" x14ac:dyDescent="0.35">
      <c r="A208" s="17">
        <v>181</v>
      </c>
      <c r="B208" s="18"/>
      <c r="C208" s="19"/>
      <c r="D208" s="65"/>
      <c r="E208" s="49"/>
      <c r="F208" s="22"/>
      <c r="G208" s="85"/>
      <c r="H208" s="126">
        <f>D208-G208</f>
        <v>0</v>
      </c>
      <c r="I208" s="160">
        <v>0</v>
      </c>
      <c r="J208" s="104"/>
      <c r="K208" s="104">
        <v>0</v>
      </c>
      <c r="L208" s="104">
        <v>0</v>
      </c>
      <c r="M208" s="139"/>
      <c r="N208" s="133"/>
      <c r="O208" s="86"/>
    </row>
    <row r="209" spans="1:15" s="106" customFormat="1" ht="15.5" x14ac:dyDescent="0.35">
      <c r="A209" s="165">
        <v>182</v>
      </c>
      <c r="B209" s="97"/>
      <c r="C209" s="98">
        <v>45764</v>
      </c>
      <c r="D209" s="196">
        <v>19036</v>
      </c>
      <c r="E209" s="100">
        <v>19036</v>
      </c>
      <c r="F209" s="158">
        <f>E209-D209</f>
        <v>0</v>
      </c>
      <c r="G209" s="103">
        <v>18709</v>
      </c>
      <c r="H209" s="159">
        <f>D209-G209</f>
        <v>327</v>
      </c>
      <c r="I209" s="160">
        <v>0</v>
      </c>
      <c r="J209" s="104"/>
      <c r="K209" s="104">
        <v>0</v>
      </c>
      <c r="L209" s="104">
        <v>0</v>
      </c>
      <c r="M209" s="161"/>
      <c r="N209" s="162">
        <f>F209*M209</f>
        <v>0</v>
      </c>
      <c r="O209" s="105"/>
    </row>
    <row r="210" spans="1:15" ht="15.5" x14ac:dyDescent="0.35">
      <c r="A210" s="17">
        <v>183</v>
      </c>
      <c r="B210" s="18"/>
      <c r="C210" s="19"/>
      <c r="D210" s="67"/>
      <c r="E210" s="49"/>
      <c r="F210" s="22"/>
      <c r="G210" s="85"/>
      <c r="H210" s="126"/>
      <c r="I210" s="160">
        <v>0</v>
      </c>
      <c r="J210" s="104"/>
      <c r="K210" s="104">
        <v>0</v>
      </c>
      <c r="L210" s="104">
        <v>0</v>
      </c>
      <c r="M210" s="139"/>
      <c r="N210" s="133">
        <f>F210*M210</f>
        <v>0</v>
      </c>
      <c r="O210" s="86"/>
    </row>
    <row r="211" spans="1:15" s="116" customFormat="1" ht="15.5" x14ac:dyDescent="0.35">
      <c r="A211" s="121">
        <v>184</v>
      </c>
      <c r="B211" s="108"/>
      <c r="C211" s="122">
        <v>45824</v>
      </c>
      <c r="D211" s="120">
        <f>18518+417</f>
        <v>18935</v>
      </c>
      <c r="E211" s="111">
        <f>D211</f>
        <v>18935</v>
      </c>
      <c r="F211" s="119">
        <f t="shared" ref="F211:F230" si="23">E211-D211</f>
        <v>0</v>
      </c>
      <c r="G211" s="113">
        <v>19224</v>
      </c>
      <c r="H211" s="125">
        <f t="shared" ref="H211:H217" si="24">D211-G211</f>
        <v>-289</v>
      </c>
      <c r="I211" s="141">
        <f>289*5.85</f>
        <v>1690.6499999999999</v>
      </c>
      <c r="J211" s="114"/>
      <c r="K211" s="114">
        <v>0</v>
      </c>
      <c r="L211" s="114">
        <v>0</v>
      </c>
      <c r="M211" s="142"/>
      <c r="N211" s="131">
        <f>F211*M211</f>
        <v>0</v>
      </c>
      <c r="O211" s="115"/>
    </row>
    <row r="212" spans="1:15" ht="15.5" x14ac:dyDescent="0.35">
      <c r="A212" s="17">
        <v>185</v>
      </c>
      <c r="B212" s="18"/>
      <c r="C212" s="58"/>
      <c r="D212" s="65"/>
      <c r="E212" s="49"/>
      <c r="F212" s="22"/>
      <c r="G212" s="85"/>
      <c r="H212" s="126">
        <f t="shared" si="24"/>
        <v>0</v>
      </c>
      <c r="I212" s="160">
        <v>0</v>
      </c>
      <c r="J212" s="104"/>
      <c r="K212" s="104">
        <v>0</v>
      </c>
      <c r="L212" s="104">
        <v>0</v>
      </c>
      <c r="M212" s="139"/>
      <c r="N212" s="133"/>
      <c r="O212" s="86"/>
    </row>
    <row r="213" spans="1:15" s="106" customFormat="1" ht="15.5" x14ac:dyDescent="0.35">
      <c r="A213" s="214">
        <v>186</v>
      </c>
      <c r="B213" s="215" t="s">
        <v>74</v>
      </c>
      <c r="C213" s="216">
        <v>45814</v>
      </c>
      <c r="D213" s="196">
        <v>16500</v>
      </c>
      <c r="E213" s="192">
        <v>16500</v>
      </c>
      <c r="F213" s="193">
        <f t="shared" si="23"/>
        <v>0</v>
      </c>
      <c r="G213" s="103">
        <v>16500</v>
      </c>
      <c r="H213" s="159">
        <f t="shared" si="24"/>
        <v>0</v>
      </c>
      <c r="I213" s="160">
        <v>0</v>
      </c>
      <c r="J213" s="104"/>
      <c r="K213" s="104">
        <v>0</v>
      </c>
      <c r="L213" s="104">
        <v>0</v>
      </c>
      <c r="M213" s="161"/>
      <c r="N213" s="162">
        <f>F213*M213</f>
        <v>0</v>
      </c>
      <c r="O213" s="105"/>
    </row>
    <row r="214" spans="1:15" ht="15.5" x14ac:dyDescent="0.35">
      <c r="A214" s="70"/>
      <c r="B214" s="71" t="s">
        <v>50</v>
      </c>
      <c r="C214" s="72">
        <v>45814</v>
      </c>
      <c r="D214" s="62">
        <v>7920</v>
      </c>
      <c r="E214" s="23">
        <v>7920</v>
      </c>
      <c r="F214" s="37">
        <f t="shared" si="23"/>
        <v>0</v>
      </c>
      <c r="G214" s="89">
        <v>7920</v>
      </c>
      <c r="H214" s="83">
        <f t="shared" si="24"/>
        <v>0</v>
      </c>
      <c r="I214" s="138"/>
      <c r="J214" s="93"/>
      <c r="K214" s="93"/>
      <c r="L214" s="93"/>
      <c r="M214" s="139"/>
      <c r="N214" s="90">
        <f>F214*M214</f>
        <v>0</v>
      </c>
      <c r="O214" s="4">
        <f>N213+N214</f>
        <v>0</v>
      </c>
    </row>
    <row r="215" spans="1:15" s="106" customFormat="1" ht="15.5" x14ac:dyDescent="0.35">
      <c r="A215" s="214">
        <v>187</v>
      </c>
      <c r="B215" s="215" t="s">
        <v>16</v>
      </c>
      <c r="C215" s="216"/>
      <c r="D215" s="196">
        <v>100</v>
      </c>
      <c r="E215" s="192">
        <v>100</v>
      </c>
      <c r="F215" s="193">
        <f t="shared" si="23"/>
        <v>0</v>
      </c>
      <c r="G215" s="103">
        <v>152</v>
      </c>
      <c r="H215" s="159">
        <f t="shared" si="24"/>
        <v>-52</v>
      </c>
      <c r="I215" s="160">
        <f>52*5.85</f>
        <v>304.2</v>
      </c>
      <c r="J215" s="104">
        <f>(K215+L215)*0.263</f>
        <v>420.8</v>
      </c>
      <c r="K215" s="104">
        <v>300</v>
      </c>
      <c r="L215" s="104">
        <v>1300</v>
      </c>
      <c r="M215" s="161"/>
      <c r="N215" s="162">
        <f>F215*M215</f>
        <v>0</v>
      </c>
      <c r="O215" s="105"/>
    </row>
    <row r="216" spans="1:15" ht="15.5" x14ac:dyDescent="0.35">
      <c r="A216" s="70">
        <v>187</v>
      </c>
      <c r="B216" s="71" t="s">
        <v>29</v>
      </c>
      <c r="C216" s="72">
        <v>45082</v>
      </c>
      <c r="D216" s="62">
        <v>10</v>
      </c>
      <c r="E216" s="23">
        <v>10</v>
      </c>
      <c r="F216" s="37">
        <f t="shared" si="23"/>
        <v>0</v>
      </c>
      <c r="G216" s="89">
        <v>10</v>
      </c>
      <c r="H216" s="83">
        <f t="shared" si="24"/>
        <v>0</v>
      </c>
      <c r="I216" s="138"/>
      <c r="J216" s="93"/>
      <c r="K216" s="93"/>
      <c r="L216" s="93"/>
      <c r="M216" s="139"/>
      <c r="N216" s="90">
        <f>F216*M216</f>
        <v>0</v>
      </c>
      <c r="O216" s="4">
        <f>N215+N216</f>
        <v>0</v>
      </c>
    </row>
    <row r="217" spans="1:15" s="106" customFormat="1" ht="15.5" x14ac:dyDescent="0.35">
      <c r="A217" s="165">
        <v>188</v>
      </c>
      <c r="B217" s="97"/>
      <c r="C217" s="98">
        <v>45579</v>
      </c>
      <c r="D217" s="167">
        <v>24340</v>
      </c>
      <c r="E217" s="100">
        <v>24340</v>
      </c>
      <c r="F217" s="158">
        <f t="shared" si="23"/>
        <v>0</v>
      </c>
      <c r="G217" s="103">
        <v>25298</v>
      </c>
      <c r="H217" s="159">
        <f t="shared" si="24"/>
        <v>-958</v>
      </c>
      <c r="I217" s="160">
        <f>958*5.85</f>
        <v>5604.2999999999993</v>
      </c>
      <c r="J217" s="104"/>
      <c r="K217" s="104">
        <v>0</v>
      </c>
      <c r="L217" s="104">
        <v>0</v>
      </c>
      <c r="M217" s="161"/>
      <c r="N217" s="162"/>
      <c r="O217" s="105"/>
    </row>
    <row r="218" spans="1:15" ht="15.5" x14ac:dyDescent="0.35">
      <c r="A218" s="8">
        <v>189</v>
      </c>
      <c r="B218" s="9" t="s">
        <v>16</v>
      </c>
      <c r="C218" s="10">
        <v>45803</v>
      </c>
      <c r="D218" s="225">
        <v>9025</v>
      </c>
      <c r="E218" s="24">
        <v>9025</v>
      </c>
      <c r="F218" s="6">
        <f t="shared" si="23"/>
        <v>0</v>
      </c>
      <c r="G218" s="89"/>
      <c r="H218" s="83"/>
      <c r="I218" s="138"/>
      <c r="J218" s="93"/>
      <c r="K218" s="93"/>
      <c r="L218" s="93"/>
      <c r="M218" s="139">
        <v>6.28</v>
      </c>
      <c r="N218" s="90">
        <f>F218*M218</f>
        <v>0</v>
      </c>
      <c r="O218" s="4"/>
    </row>
    <row r="219" spans="1:15" ht="15.5" x14ac:dyDescent="0.35">
      <c r="A219" s="8">
        <v>189</v>
      </c>
      <c r="B219" s="9" t="s">
        <v>29</v>
      </c>
      <c r="C219" s="10">
        <v>45803</v>
      </c>
      <c r="D219" s="62">
        <v>3800</v>
      </c>
      <c r="E219" s="24">
        <v>3800</v>
      </c>
      <c r="F219" s="6">
        <f t="shared" si="23"/>
        <v>0</v>
      </c>
      <c r="G219" s="89"/>
      <c r="H219" s="83"/>
      <c r="I219" s="138"/>
      <c r="J219" s="93"/>
      <c r="K219" s="93"/>
      <c r="L219" s="93"/>
      <c r="M219" s="139">
        <v>3.4</v>
      </c>
      <c r="N219" s="90">
        <f>F219*M219</f>
        <v>0</v>
      </c>
      <c r="O219" s="4">
        <f>N218+N219</f>
        <v>0</v>
      </c>
    </row>
    <row r="220" spans="1:15" s="106" customFormat="1" ht="15.5" x14ac:dyDescent="0.35">
      <c r="A220" s="165">
        <v>189</v>
      </c>
      <c r="B220" s="97" t="s">
        <v>103</v>
      </c>
      <c r="C220" s="98">
        <v>45719</v>
      </c>
      <c r="D220" s="167">
        <f>8948+967</f>
        <v>9915</v>
      </c>
      <c r="E220" s="100">
        <f>967+8948</f>
        <v>9915</v>
      </c>
      <c r="F220" s="158">
        <f t="shared" si="23"/>
        <v>0</v>
      </c>
      <c r="G220" s="103">
        <v>10478</v>
      </c>
      <c r="H220" s="159">
        <f t="shared" ref="H220:H233" si="25">D220-G220</f>
        <v>-563</v>
      </c>
      <c r="I220" s="160">
        <f>563*5.85</f>
        <v>3293.5499999999997</v>
      </c>
      <c r="J220" s="104"/>
      <c r="K220" s="104">
        <v>0</v>
      </c>
      <c r="L220" s="104">
        <v>0</v>
      </c>
      <c r="M220" s="161"/>
      <c r="N220" s="162"/>
      <c r="O220" s="105"/>
    </row>
    <row r="221" spans="1:15" s="106" customFormat="1" ht="15.5" x14ac:dyDescent="0.35">
      <c r="A221" s="165">
        <v>190</v>
      </c>
      <c r="B221" s="97" t="s">
        <v>16</v>
      </c>
      <c r="C221" s="98">
        <v>45526</v>
      </c>
      <c r="D221" s="167">
        <v>601</v>
      </c>
      <c r="E221" s="100">
        <v>601</v>
      </c>
      <c r="F221" s="158">
        <f t="shared" si="23"/>
        <v>0</v>
      </c>
      <c r="G221" s="103">
        <v>684</v>
      </c>
      <c r="H221" s="159">
        <f t="shared" si="25"/>
        <v>-83</v>
      </c>
      <c r="I221" s="160">
        <f>(83*6.28)+17</f>
        <v>538.24</v>
      </c>
      <c r="J221" s="104"/>
      <c r="K221" s="104">
        <v>0</v>
      </c>
      <c r="L221" s="104">
        <v>0</v>
      </c>
      <c r="M221" s="161"/>
      <c r="N221" s="162"/>
      <c r="O221" s="105">
        <f>N221+N222</f>
        <v>0</v>
      </c>
    </row>
    <row r="222" spans="1:15" ht="15.5" x14ac:dyDescent="0.35">
      <c r="A222" s="8">
        <v>190</v>
      </c>
      <c r="B222" s="9" t="s">
        <v>29</v>
      </c>
      <c r="C222" s="10">
        <v>45526</v>
      </c>
      <c r="D222" s="63">
        <v>242</v>
      </c>
      <c r="E222" s="24">
        <v>242</v>
      </c>
      <c r="F222" s="6">
        <f t="shared" si="23"/>
        <v>0</v>
      </c>
      <c r="G222" s="89">
        <v>247</v>
      </c>
      <c r="H222" s="83">
        <f t="shared" si="25"/>
        <v>-5</v>
      </c>
      <c r="I222" s="138">
        <f>5*5.85</f>
        <v>29.25</v>
      </c>
      <c r="J222" s="93"/>
      <c r="K222" s="93"/>
      <c r="L222" s="93"/>
      <c r="M222" s="139"/>
      <c r="N222" s="90">
        <f t="shared" ref="N222:N230" si="26">F222*M222</f>
        <v>0</v>
      </c>
      <c r="O222" s="4"/>
    </row>
    <row r="223" spans="1:15" s="106" customFormat="1" ht="15.5" x14ac:dyDescent="0.35">
      <c r="A223" s="165">
        <v>191</v>
      </c>
      <c r="B223" s="97"/>
      <c r="C223" s="98">
        <v>45652</v>
      </c>
      <c r="D223" s="196">
        <v>16367</v>
      </c>
      <c r="E223" s="100">
        <v>16367</v>
      </c>
      <c r="F223" s="158">
        <f t="shared" si="23"/>
        <v>0</v>
      </c>
      <c r="G223" s="103">
        <v>17940</v>
      </c>
      <c r="H223" s="159">
        <f t="shared" si="25"/>
        <v>-1573</v>
      </c>
      <c r="I223" s="160">
        <f>1573*5.85</f>
        <v>9202.0499999999993</v>
      </c>
      <c r="J223" s="104"/>
      <c r="K223" s="104">
        <v>0</v>
      </c>
      <c r="L223" s="104">
        <v>0</v>
      </c>
      <c r="M223" s="161"/>
      <c r="N223" s="162">
        <f t="shared" si="26"/>
        <v>0</v>
      </c>
      <c r="O223" s="105"/>
    </row>
    <row r="224" spans="1:15" s="106" customFormat="1" ht="15.5" x14ac:dyDescent="0.35">
      <c r="A224" s="214">
        <v>192</v>
      </c>
      <c r="B224" s="97" t="s">
        <v>16</v>
      </c>
      <c r="C224" s="216">
        <v>45695</v>
      </c>
      <c r="D224" s="196">
        <v>27554</v>
      </c>
      <c r="E224" s="192">
        <v>27554</v>
      </c>
      <c r="F224" s="193">
        <f t="shared" si="23"/>
        <v>0</v>
      </c>
      <c r="G224" s="103">
        <v>30661</v>
      </c>
      <c r="H224" s="159">
        <f t="shared" si="25"/>
        <v>-3107</v>
      </c>
      <c r="I224" s="160">
        <f>3107*6.28+11134*3.4</f>
        <v>57367.56</v>
      </c>
      <c r="J224" s="104"/>
      <c r="K224" s="104">
        <v>0</v>
      </c>
      <c r="L224" s="104">
        <v>0</v>
      </c>
      <c r="M224" s="161"/>
      <c r="N224" s="237">
        <f t="shared" si="26"/>
        <v>0</v>
      </c>
      <c r="O224" s="238"/>
    </row>
    <row r="225" spans="1:15" ht="15.5" x14ac:dyDescent="0.35">
      <c r="A225" s="70">
        <v>192</v>
      </c>
      <c r="B225" s="9" t="s">
        <v>29</v>
      </c>
      <c r="C225" s="72">
        <v>45695</v>
      </c>
      <c r="D225" s="62">
        <v>11134</v>
      </c>
      <c r="E225" s="23">
        <v>11134</v>
      </c>
      <c r="F225" s="37">
        <f t="shared" si="23"/>
        <v>0</v>
      </c>
      <c r="G225" s="89">
        <v>12741</v>
      </c>
      <c r="H225" s="83">
        <f>D225-G225</f>
        <v>-1607</v>
      </c>
      <c r="I225" s="138"/>
      <c r="J225" s="93"/>
      <c r="K225" s="93"/>
      <c r="L225" s="93"/>
      <c r="M225" s="139"/>
      <c r="N225" s="134">
        <f t="shared" si="26"/>
        <v>0</v>
      </c>
      <c r="O225" s="26">
        <f>N224+N225</f>
        <v>0</v>
      </c>
    </row>
    <row r="226" spans="1:15" s="106" customFormat="1" ht="15.5" x14ac:dyDescent="0.35">
      <c r="A226" s="165">
        <v>193</v>
      </c>
      <c r="B226" s="97"/>
      <c r="C226" s="98">
        <v>45754</v>
      </c>
      <c r="D226" s="196">
        <v>5914</v>
      </c>
      <c r="E226" s="100">
        <f>5872+42</f>
        <v>5914</v>
      </c>
      <c r="F226" s="158">
        <f t="shared" si="23"/>
        <v>0</v>
      </c>
      <c r="G226" s="103">
        <v>5914</v>
      </c>
      <c r="H226" s="159">
        <f t="shared" si="25"/>
        <v>0</v>
      </c>
      <c r="I226" s="160">
        <v>0</v>
      </c>
      <c r="J226" s="104"/>
      <c r="K226" s="104">
        <v>0</v>
      </c>
      <c r="L226" s="104">
        <v>0</v>
      </c>
      <c r="M226" s="161"/>
      <c r="N226" s="162">
        <f t="shared" si="26"/>
        <v>0</v>
      </c>
      <c r="O226" s="105"/>
    </row>
    <row r="227" spans="1:15" s="106" customFormat="1" ht="15.5" x14ac:dyDescent="0.35">
      <c r="A227" s="165">
        <v>194</v>
      </c>
      <c r="B227" s="97" t="s">
        <v>16</v>
      </c>
      <c r="C227" s="98">
        <v>45719</v>
      </c>
      <c r="D227" s="196">
        <v>41330</v>
      </c>
      <c r="E227" s="100">
        <v>41330</v>
      </c>
      <c r="F227" s="158">
        <f t="shared" si="23"/>
        <v>0</v>
      </c>
      <c r="G227" s="103">
        <v>44136</v>
      </c>
      <c r="H227" s="159">
        <f t="shared" si="25"/>
        <v>-2806</v>
      </c>
      <c r="I227" s="160">
        <f>2806*6.28+1424*3.4</f>
        <v>22463.279999999999</v>
      </c>
      <c r="J227" s="104"/>
      <c r="K227" s="104">
        <v>0</v>
      </c>
      <c r="L227" s="104">
        <v>0</v>
      </c>
      <c r="M227" s="161">
        <v>6.28</v>
      </c>
      <c r="N227" s="162">
        <f t="shared" si="26"/>
        <v>0</v>
      </c>
      <c r="O227" s="105"/>
    </row>
    <row r="228" spans="1:15" ht="15.5" x14ac:dyDescent="0.35">
      <c r="A228" s="8">
        <v>194</v>
      </c>
      <c r="B228" s="9" t="s">
        <v>29</v>
      </c>
      <c r="C228" s="10">
        <v>45719</v>
      </c>
      <c r="D228" s="62">
        <v>19530</v>
      </c>
      <c r="E228" s="24">
        <v>19530</v>
      </c>
      <c r="F228" s="6">
        <f t="shared" si="23"/>
        <v>0</v>
      </c>
      <c r="G228" s="88">
        <v>20954</v>
      </c>
      <c r="H228" s="83">
        <f t="shared" si="25"/>
        <v>-1424</v>
      </c>
      <c r="I228" s="138"/>
      <c r="J228" s="93"/>
      <c r="K228" s="93"/>
      <c r="L228" s="93"/>
      <c r="M228" s="139">
        <v>3.4</v>
      </c>
      <c r="N228" s="90">
        <f t="shared" si="26"/>
        <v>0</v>
      </c>
      <c r="O228" s="4">
        <f>N227+N228</f>
        <v>0</v>
      </c>
    </row>
    <row r="229" spans="1:15" s="106" customFormat="1" ht="15.5" x14ac:dyDescent="0.35">
      <c r="A229" s="165">
        <v>195</v>
      </c>
      <c r="B229" s="97"/>
      <c r="C229" s="98">
        <v>45814</v>
      </c>
      <c r="D229" s="196">
        <v>6350</v>
      </c>
      <c r="E229" s="100">
        <v>6350</v>
      </c>
      <c r="F229" s="158">
        <f t="shared" si="23"/>
        <v>0</v>
      </c>
      <c r="G229" s="103">
        <v>6365</v>
      </c>
      <c r="H229" s="159">
        <f t="shared" si="25"/>
        <v>-15</v>
      </c>
      <c r="I229" s="160">
        <f>15*6.28</f>
        <v>94.2</v>
      </c>
      <c r="J229" s="104"/>
      <c r="K229" s="104">
        <v>0</v>
      </c>
      <c r="L229" s="104">
        <v>0</v>
      </c>
      <c r="M229" s="161"/>
      <c r="N229" s="162">
        <f t="shared" si="26"/>
        <v>0</v>
      </c>
      <c r="O229" s="105"/>
    </row>
    <row r="230" spans="1:15" s="106" customFormat="1" ht="15.5" x14ac:dyDescent="0.35">
      <c r="A230" s="165">
        <v>196</v>
      </c>
      <c r="B230" s="97"/>
      <c r="C230" s="98">
        <v>45643</v>
      </c>
      <c r="D230" s="196">
        <v>29785</v>
      </c>
      <c r="E230" s="100">
        <v>29785</v>
      </c>
      <c r="F230" s="158">
        <f t="shared" si="23"/>
        <v>0</v>
      </c>
      <c r="G230" s="103">
        <v>37351</v>
      </c>
      <c r="H230" s="159">
        <f t="shared" si="25"/>
        <v>-7566</v>
      </c>
      <c r="I230" s="160">
        <f>7566*5.85</f>
        <v>44261.1</v>
      </c>
      <c r="J230" s="104">
        <f>K230*0.263</f>
        <v>210.4</v>
      </c>
      <c r="K230" s="104">
        <v>800</v>
      </c>
      <c r="L230" s="104">
        <v>0</v>
      </c>
      <c r="M230" s="161"/>
      <c r="N230" s="162">
        <f t="shared" si="26"/>
        <v>0</v>
      </c>
      <c r="O230" s="105"/>
    </row>
    <row r="231" spans="1:15" ht="15.5" x14ac:dyDescent="0.35">
      <c r="A231" s="17">
        <v>197</v>
      </c>
      <c r="B231" s="18"/>
      <c r="C231" s="19"/>
      <c r="D231" s="67"/>
      <c r="E231" s="49"/>
      <c r="F231" s="22"/>
      <c r="G231" s="85"/>
      <c r="H231" s="159"/>
      <c r="I231" s="160">
        <v>0</v>
      </c>
      <c r="J231" s="104"/>
      <c r="K231" s="104">
        <v>0</v>
      </c>
      <c r="L231" s="104">
        <v>0</v>
      </c>
      <c r="M231" s="139"/>
      <c r="N231" s="133"/>
      <c r="O231" s="86"/>
    </row>
    <row r="232" spans="1:15" s="106" customFormat="1" ht="15.5" x14ac:dyDescent="0.35">
      <c r="A232" s="214">
        <v>284</v>
      </c>
      <c r="B232" s="97" t="s">
        <v>16</v>
      </c>
      <c r="C232" s="216">
        <v>45670</v>
      </c>
      <c r="D232" s="196">
        <v>0</v>
      </c>
      <c r="E232" s="192">
        <v>0</v>
      </c>
      <c r="F232" s="193"/>
      <c r="G232" s="103">
        <v>951</v>
      </c>
      <c r="H232" s="159">
        <f t="shared" si="25"/>
        <v>-951</v>
      </c>
      <c r="I232" s="160">
        <f>5972.28+1730.6</f>
        <v>7702.8799999999992</v>
      </c>
      <c r="J232" s="104"/>
      <c r="K232" s="104">
        <v>0</v>
      </c>
      <c r="L232" s="104" t="s">
        <v>127</v>
      </c>
      <c r="M232" s="161"/>
      <c r="N232" s="162">
        <f>F232*M232</f>
        <v>0</v>
      </c>
      <c r="O232" s="105"/>
    </row>
    <row r="233" spans="1:15" s="106" customFormat="1" ht="15.5" x14ac:dyDescent="0.35">
      <c r="A233" s="245"/>
      <c r="B233" s="185" t="s">
        <v>29</v>
      </c>
      <c r="C233" s="216">
        <v>45670</v>
      </c>
      <c r="D233" s="196">
        <v>0</v>
      </c>
      <c r="E233" s="192">
        <v>0</v>
      </c>
      <c r="F233" s="193"/>
      <c r="G233" s="103">
        <v>509</v>
      </c>
      <c r="H233" s="159">
        <f t="shared" si="25"/>
        <v>-509</v>
      </c>
      <c r="I233" s="160"/>
      <c r="J233" s="104"/>
      <c r="K233" s="104"/>
      <c r="L233" s="104"/>
      <c r="M233" s="161"/>
      <c r="N233" s="162"/>
      <c r="O233" s="105"/>
    </row>
    <row r="234" spans="1:15" ht="15.5" x14ac:dyDescent="0.35">
      <c r="A234" s="251" t="s">
        <v>75</v>
      </c>
      <c r="B234" s="252"/>
      <c r="C234" s="253"/>
      <c r="D234" s="29"/>
      <c r="E234" s="5"/>
      <c r="F234" s="6"/>
      <c r="G234" s="82"/>
      <c r="H234" s="83"/>
      <c r="I234" s="138"/>
      <c r="J234" s="93"/>
      <c r="K234" s="93"/>
      <c r="L234" s="93"/>
      <c r="M234" s="139"/>
      <c r="N234" s="90"/>
      <c r="O234" s="4"/>
    </row>
    <row r="235" spans="1:15" s="106" customFormat="1" ht="15.5" x14ac:dyDescent="0.35">
      <c r="A235" s="165">
        <v>198</v>
      </c>
      <c r="B235" s="97"/>
      <c r="C235" s="98">
        <v>45601</v>
      </c>
      <c r="D235" s="167">
        <f>10716+300+150</f>
        <v>11166</v>
      </c>
      <c r="E235" s="100">
        <f>D235</f>
        <v>11166</v>
      </c>
      <c r="F235" s="158">
        <f>E235-D235</f>
        <v>0</v>
      </c>
      <c r="G235" s="103">
        <v>11323</v>
      </c>
      <c r="H235" s="159">
        <f t="shared" ref="H235:H242" si="27">D235-G235</f>
        <v>-157</v>
      </c>
      <c r="I235" s="160">
        <f>157*5.85</f>
        <v>918.44999999999993</v>
      </c>
      <c r="J235" s="104"/>
      <c r="K235" s="104">
        <v>0</v>
      </c>
      <c r="L235" s="104">
        <v>0</v>
      </c>
      <c r="M235" s="161"/>
      <c r="N235" s="162">
        <f>M235*F235</f>
        <v>0</v>
      </c>
      <c r="O235" s="105"/>
    </row>
    <row r="236" spans="1:15" s="106" customFormat="1" ht="15.5" x14ac:dyDescent="0.35">
      <c r="A236" s="165">
        <v>199</v>
      </c>
      <c r="B236" s="97"/>
      <c r="C236" s="98" t="s">
        <v>116</v>
      </c>
      <c r="D236" s="167"/>
      <c r="E236" s="100"/>
      <c r="F236" s="158"/>
      <c r="G236" s="103"/>
      <c r="H236" s="159"/>
      <c r="I236" s="160">
        <v>0</v>
      </c>
      <c r="J236" s="104"/>
      <c r="K236" s="104">
        <v>0</v>
      </c>
      <c r="L236" s="104">
        <v>0</v>
      </c>
      <c r="M236" s="161"/>
      <c r="N236" s="162"/>
      <c r="O236" s="105"/>
    </row>
    <row r="237" spans="1:15" ht="15.5" x14ac:dyDescent="0.35">
      <c r="A237" s="17">
        <v>200</v>
      </c>
      <c r="B237" s="18"/>
      <c r="C237" s="19">
        <v>44384</v>
      </c>
      <c r="D237" s="65"/>
      <c r="E237" s="49"/>
      <c r="F237" s="22"/>
      <c r="G237" s="85"/>
      <c r="H237" s="126">
        <f t="shared" si="27"/>
        <v>0</v>
      </c>
      <c r="I237" s="160">
        <v>0</v>
      </c>
      <c r="J237" s="104"/>
      <c r="K237" s="104">
        <v>0</v>
      </c>
      <c r="L237" s="104">
        <v>0</v>
      </c>
      <c r="M237" s="139"/>
      <c r="N237" s="133"/>
      <c r="O237" s="86"/>
    </row>
    <row r="238" spans="1:15" s="106" customFormat="1" ht="15.5" x14ac:dyDescent="0.35">
      <c r="A238" s="165">
        <v>201</v>
      </c>
      <c r="B238" s="97" t="s">
        <v>8</v>
      </c>
      <c r="C238" s="98">
        <v>45621</v>
      </c>
      <c r="D238" s="167">
        <v>3085</v>
      </c>
      <c r="E238" s="100">
        <v>3085</v>
      </c>
      <c r="F238" s="158">
        <f>E238-D238</f>
        <v>0</v>
      </c>
      <c r="G238" s="103">
        <v>3799</v>
      </c>
      <c r="H238" s="159">
        <f t="shared" si="27"/>
        <v>-714</v>
      </c>
      <c r="I238" s="160">
        <f>714*6.28+331*3.4</f>
        <v>5609.32</v>
      </c>
      <c r="J238" s="104">
        <f>L238*0.263</f>
        <v>26.3</v>
      </c>
      <c r="K238" s="104">
        <v>0</v>
      </c>
      <c r="L238" s="104">
        <v>100</v>
      </c>
      <c r="M238" s="161">
        <v>6.28</v>
      </c>
      <c r="N238" s="162">
        <f>M238*F238</f>
        <v>0</v>
      </c>
      <c r="O238" s="105"/>
    </row>
    <row r="239" spans="1:15" ht="15.5" x14ac:dyDescent="0.35">
      <c r="A239" s="8">
        <v>201</v>
      </c>
      <c r="B239" s="9" t="s">
        <v>8</v>
      </c>
      <c r="C239" s="10">
        <v>45621</v>
      </c>
      <c r="D239" s="63">
        <v>1772</v>
      </c>
      <c r="E239" s="24">
        <v>1772</v>
      </c>
      <c r="F239" s="6">
        <f>E239-D239</f>
        <v>0</v>
      </c>
      <c r="G239" s="89">
        <v>2103</v>
      </c>
      <c r="H239" s="83">
        <f t="shared" si="27"/>
        <v>-331</v>
      </c>
      <c r="I239" s="138"/>
      <c r="J239" s="93"/>
      <c r="K239" s="93"/>
      <c r="L239" s="93"/>
      <c r="M239" s="139">
        <v>3.4</v>
      </c>
      <c r="N239" s="90">
        <f>M239*F239</f>
        <v>0</v>
      </c>
      <c r="O239" s="4">
        <f>N239+N238</f>
        <v>0</v>
      </c>
    </row>
    <row r="240" spans="1:15" s="106" customFormat="1" ht="14.5" customHeight="1" x14ac:dyDescent="0.35">
      <c r="A240" s="165">
        <v>202</v>
      </c>
      <c r="B240" s="97"/>
      <c r="C240" s="98">
        <v>43297</v>
      </c>
      <c r="D240" s="167">
        <v>25</v>
      </c>
      <c r="E240" s="100">
        <v>25</v>
      </c>
      <c r="F240" s="158">
        <v>0</v>
      </c>
      <c r="G240" s="103">
        <v>25</v>
      </c>
      <c r="H240" s="159">
        <f t="shared" si="27"/>
        <v>0</v>
      </c>
      <c r="I240" s="160">
        <v>0</v>
      </c>
      <c r="J240" s="104">
        <f>26.3</f>
        <v>26.3</v>
      </c>
      <c r="K240" s="104">
        <v>0</v>
      </c>
      <c r="L240" s="104">
        <v>100</v>
      </c>
      <c r="M240" s="161"/>
      <c r="N240" s="162"/>
      <c r="O240" s="105"/>
    </row>
    <row r="241" spans="1:15" s="106" customFormat="1" ht="15.5" x14ac:dyDescent="0.35">
      <c r="A241" s="165">
        <v>203</v>
      </c>
      <c r="B241" s="97"/>
      <c r="C241" s="98">
        <v>45813</v>
      </c>
      <c r="D241" s="217">
        <f>12613+186+170+170+170+170+170+170+170</f>
        <v>13989</v>
      </c>
      <c r="E241" s="218">
        <f>D241</f>
        <v>13989</v>
      </c>
      <c r="F241" s="158">
        <f>E241-D241</f>
        <v>0</v>
      </c>
      <c r="G241" s="103">
        <v>13238</v>
      </c>
      <c r="H241" s="159">
        <f t="shared" si="27"/>
        <v>751</v>
      </c>
      <c r="I241" s="160">
        <v>0</v>
      </c>
      <c r="J241" s="104"/>
      <c r="K241" s="104">
        <v>0</v>
      </c>
      <c r="L241" s="104">
        <v>0</v>
      </c>
      <c r="M241" s="161"/>
      <c r="N241" s="162">
        <f>M241*F241</f>
        <v>0</v>
      </c>
      <c r="O241" s="105"/>
    </row>
    <row r="242" spans="1:15" s="106" customFormat="1" ht="15.5" x14ac:dyDescent="0.35">
      <c r="A242" s="165">
        <v>204</v>
      </c>
      <c r="B242" s="97" t="s">
        <v>103</v>
      </c>
      <c r="C242" s="98">
        <v>45819</v>
      </c>
      <c r="D242" s="196">
        <v>5158</v>
      </c>
      <c r="E242" s="100">
        <v>5158</v>
      </c>
      <c r="F242" s="158">
        <f>E242-D242</f>
        <v>0</v>
      </c>
      <c r="G242" s="103">
        <v>5155</v>
      </c>
      <c r="H242" s="159">
        <f t="shared" si="27"/>
        <v>3</v>
      </c>
      <c r="I242" s="160">
        <v>0</v>
      </c>
      <c r="J242" s="104"/>
      <c r="K242" s="104">
        <v>0</v>
      </c>
      <c r="L242" s="104">
        <v>0</v>
      </c>
      <c r="M242" s="161"/>
      <c r="N242" s="162">
        <f>F242*M242</f>
        <v>0</v>
      </c>
      <c r="O242" s="105"/>
    </row>
    <row r="243" spans="1:15" s="155" customFormat="1" ht="15.5" x14ac:dyDescent="0.35">
      <c r="A243" s="222">
        <v>204</v>
      </c>
      <c r="B243" s="148" t="s">
        <v>131</v>
      </c>
      <c r="C243" s="149">
        <v>45819</v>
      </c>
      <c r="D243" s="223">
        <v>10261</v>
      </c>
      <c r="E243" s="150">
        <v>10261</v>
      </c>
      <c r="F243" s="151">
        <f>E243-D243</f>
        <v>0</v>
      </c>
      <c r="G243" s="89"/>
      <c r="H243" s="127"/>
      <c r="I243" s="144"/>
      <c r="J243" s="95"/>
      <c r="K243" s="95"/>
      <c r="L243" s="95"/>
      <c r="M243" s="152"/>
      <c r="N243" s="153"/>
      <c r="O243" s="154"/>
    </row>
    <row r="244" spans="1:15" s="106" customFormat="1" ht="15.5" x14ac:dyDescent="0.35">
      <c r="A244" s="165">
        <v>205</v>
      </c>
      <c r="B244" s="97" t="s">
        <v>16</v>
      </c>
      <c r="C244" s="98">
        <v>45478</v>
      </c>
      <c r="D244" s="196">
        <v>159</v>
      </c>
      <c r="E244" s="100">
        <v>159</v>
      </c>
      <c r="F244" s="158">
        <f>E244-D244</f>
        <v>0</v>
      </c>
      <c r="G244" s="103">
        <v>20</v>
      </c>
      <c r="H244" s="159">
        <f>D244-G244</f>
        <v>139</v>
      </c>
      <c r="I244" s="160">
        <v>0</v>
      </c>
      <c r="J244" s="104"/>
      <c r="K244" s="104">
        <v>0</v>
      </c>
      <c r="L244" s="104">
        <v>0</v>
      </c>
      <c r="M244" s="161"/>
      <c r="N244" s="162"/>
      <c r="O244" s="105"/>
    </row>
    <row r="245" spans="1:15" s="155" customFormat="1" ht="15.5" x14ac:dyDescent="0.35">
      <c r="A245" s="222">
        <v>205</v>
      </c>
      <c r="B245" s="148" t="s">
        <v>29</v>
      </c>
      <c r="C245" s="149">
        <v>45478</v>
      </c>
      <c r="D245" s="223">
        <v>0</v>
      </c>
      <c r="E245" s="150">
        <v>0</v>
      </c>
      <c r="F245" s="151"/>
      <c r="G245" s="89">
        <v>0</v>
      </c>
      <c r="H245" s="127">
        <v>0</v>
      </c>
      <c r="I245" s="144"/>
      <c r="J245" s="95"/>
      <c r="K245" s="95"/>
      <c r="L245" s="95"/>
      <c r="M245" s="152"/>
      <c r="N245" s="153"/>
      <c r="O245" s="154"/>
    </row>
    <row r="246" spans="1:15" s="106" customFormat="1" ht="15.5" x14ac:dyDescent="0.35">
      <c r="A246" s="165">
        <v>206</v>
      </c>
      <c r="B246" s="97"/>
      <c r="C246" s="98">
        <v>45621</v>
      </c>
      <c r="D246" s="167">
        <f>7086+30005+2000</f>
        <v>39091</v>
      </c>
      <c r="E246" s="100">
        <f>7086+30005+2000</f>
        <v>39091</v>
      </c>
      <c r="F246" s="158">
        <v>0</v>
      </c>
      <c r="G246" s="103">
        <v>13473</v>
      </c>
      <c r="H246" s="159"/>
      <c r="I246" s="160">
        <v>0</v>
      </c>
      <c r="J246" s="104"/>
      <c r="K246" s="104">
        <v>0</v>
      </c>
      <c r="L246" s="104">
        <v>0</v>
      </c>
      <c r="M246" s="161"/>
      <c r="N246" s="162"/>
      <c r="O246" s="105"/>
    </row>
    <row r="247" spans="1:15" s="106" customFormat="1" ht="15.5" x14ac:dyDescent="0.35">
      <c r="A247" s="165" t="s">
        <v>76</v>
      </c>
      <c r="B247" s="97" t="s">
        <v>8</v>
      </c>
      <c r="C247" s="98">
        <v>45818</v>
      </c>
      <c r="D247" s="167">
        <v>8700</v>
      </c>
      <c r="E247" s="100">
        <v>8700</v>
      </c>
      <c r="F247" s="158">
        <f t="shared" ref="F247:F253" si="28">E247-D247</f>
        <v>0</v>
      </c>
      <c r="G247" s="103">
        <v>8700</v>
      </c>
      <c r="H247" s="159">
        <f>D247-G247</f>
        <v>0</v>
      </c>
      <c r="I247" s="160">
        <v>0</v>
      </c>
      <c r="J247" s="104"/>
      <c r="K247" s="104">
        <v>0</v>
      </c>
      <c r="L247" s="104">
        <v>0</v>
      </c>
      <c r="M247" s="161"/>
      <c r="N247" s="162">
        <f>M247*F247</f>
        <v>0</v>
      </c>
      <c r="O247" s="105"/>
    </row>
    <row r="248" spans="1:15" ht="15.5" x14ac:dyDescent="0.35">
      <c r="A248" s="8" t="s">
        <v>76</v>
      </c>
      <c r="B248" s="9" t="s">
        <v>9</v>
      </c>
      <c r="C248" s="10">
        <v>45818</v>
      </c>
      <c r="D248" s="63">
        <v>2600</v>
      </c>
      <c r="E248" s="24">
        <v>2600</v>
      </c>
      <c r="F248" s="6">
        <f t="shared" si="28"/>
        <v>0</v>
      </c>
      <c r="G248" s="89">
        <v>2600</v>
      </c>
      <c r="H248" s="83">
        <f>D248-G248</f>
        <v>0</v>
      </c>
      <c r="I248" s="138"/>
      <c r="J248" s="93"/>
      <c r="K248" s="93"/>
      <c r="L248" s="93"/>
      <c r="M248" s="139"/>
      <c r="N248" s="90">
        <f>M248*F248</f>
        <v>0</v>
      </c>
      <c r="O248" s="4">
        <f>N247+N248</f>
        <v>0</v>
      </c>
    </row>
    <row r="249" spans="1:15" s="106" customFormat="1" ht="15.5" x14ac:dyDescent="0.35">
      <c r="A249" s="165">
        <v>209</v>
      </c>
      <c r="B249" s="97"/>
      <c r="C249" s="98">
        <v>45782</v>
      </c>
      <c r="D249" s="196">
        <f>7140+105</f>
        <v>7245</v>
      </c>
      <c r="E249" s="100">
        <f>7140+105</f>
        <v>7245</v>
      </c>
      <c r="F249" s="158">
        <f t="shared" si="28"/>
        <v>0</v>
      </c>
      <c r="G249" s="103">
        <v>6318</v>
      </c>
      <c r="H249" s="159">
        <f>D249-G249</f>
        <v>927</v>
      </c>
      <c r="I249" s="160">
        <v>0</v>
      </c>
      <c r="J249" s="104"/>
      <c r="K249" s="104">
        <v>0</v>
      </c>
      <c r="L249" s="104">
        <v>0</v>
      </c>
      <c r="M249" s="161"/>
      <c r="N249" s="162">
        <f>F249*M249</f>
        <v>0</v>
      </c>
      <c r="O249" s="105"/>
    </row>
    <row r="250" spans="1:15" s="106" customFormat="1" ht="15.5" x14ac:dyDescent="0.35">
      <c r="A250" s="165">
        <v>210</v>
      </c>
      <c r="B250" s="97"/>
      <c r="C250" s="98" t="s">
        <v>116</v>
      </c>
      <c r="D250" s="196"/>
      <c r="E250" s="100"/>
      <c r="F250" s="158"/>
      <c r="G250" s="103"/>
      <c r="H250" s="159"/>
      <c r="I250" s="160">
        <v>0</v>
      </c>
      <c r="J250" s="104"/>
      <c r="K250" s="104">
        <v>0</v>
      </c>
      <c r="L250" s="104">
        <v>0</v>
      </c>
      <c r="M250" s="161"/>
      <c r="N250" s="162"/>
      <c r="O250" s="105"/>
    </row>
    <row r="251" spans="1:15" s="106" customFormat="1" ht="15.5" x14ac:dyDescent="0.35">
      <c r="A251" s="165">
        <v>211</v>
      </c>
      <c r="B251" s="97"/>
      <c r="C251" s="98">
        <v>45579</v>
      </c>
      <c r="D251" s="167">
        <v>3300</v>
      </c>
      <c r="E251" s="100">
        <v>3300</v>
      </c>
      <c r="F251" s="158">
        <f t="shared" si="28"/>
        <v>0</v>
      </c>
      <c r="G251" s="103">
        <v>3198</v>
      </c>
      <c r="H251" s="159">
        <f t="shared" ref="H251:H255" si="29">D251-G251</f>
        <v>102</v>
      </c>
      <c r="I251" s="160">
        <v>0</v>
      </c>
      <c r="J251" s="104"/>
      <c r="K251" s="104">
        <v>0</v>
      </c>
      <c r="L251" s="104">
        <v>0</v>
      </c>
      <c r="M251" s="161"/>
      <c r="N251" s="162">
        <f>M251*F251</f>
        <v>0</v>
      </c>
      <c r="O251" s="105"/>
    </row>
    <row r="252" spans="1:15" s="106" customFormat="1" ht="15.5" x14ac:dyDescent="0.35">
      <c r="A252" s="165" t="s">
        <v>77</v>
      </c>
      <c r="B252" s="97" t="s">
        <v>16</v>
      </c>
      <c r="C252" s="98">
        <v>45761</v>
      </c>
      <c r="D252" s="196">
        <v>11169</v>
      </c>
      <c r="E252" s="100">
        <v>11169</v>
      </c>
      <c r="F252" s="158">
        <f t="shared" si="28"/>
        <v>0</v>
      </c>
      <c r="G252" s="103"/>
      <c r="H252" s="159"/>
      <c r="I252" s="160">
        <v>0</v>
      </c>
      <c r="J252" s="104"/>
      <c r="K252" s="104">
        <v>0</v>
      </c>
      <c r="L252" s="104">
        <v>0</v>
      </c>
      <c r="M252" s="161">
        <f>F252*6.28</f>
        <v>0</v>
      </c>
      <c r="N252" s="162"/>
      <c r="O252" s="105">
        <f>M252+M253</f>
        <v>0</v>
      </c>
    </row>
    <row r="253" spans="1:15" ht="15.5" x14ac:dyDescent="0.35">
      <c r="A253" s="8" t="s">
        <v>77</v>
      </c>
      <c r="B253" s="9" t="s">
        <v>29</v>
      </c>
      <c r="C253" s="10">
        <v>45761</v>
      </c>
      <c r="D253" s="62">
        <v>5425</v>
      </c>
      <c r="E253" s="24">
        <v>5425</v>
      </c>
      <c r="F253" s="6">
        <f t="shared" si="28"/>
        <v>0</v>
      </c>
      <c r="G253" s="232"/>
      <c r="H253" s="83"/>
      <c r="I253" s="138"/>
      <c r="J253" s="93"/>
      <c r="K253" s="93"/>
      <c r="L253" s="93"/>
      <c r="M253" s="139">
        <f>F253*3.4</f>
        <v>0</v>
      </c>
      <c r="N253" s="90"/>
      <c r="O253" s="4"/>
    </row>
    <row r="254" spans="1:15" s="106" customFormat="1" ht="14" customHeight="1" x14ac:dyDescent="0.35">
      <c r="A254" s="165" t="s">
        <v>122</v>
      </c>
      <c r="B254" s="97" t="s">
        <v>16</v>
      </c>
      <c r="C254" s="98">
        <v>45653</v>
      </c>
      <c r="D254" s="196">
        <v>1342</v>
      </c>
      <c r="E254" s="100">
        <v>1342</v>
      </c>
      <c r="F254" s="158">
        <f>E254-D254</f>
        <v>0</v>
      </c>
      <c r="G254" s="103">
        <v>1396</v>
      </c>
      <c r="H254" s="159">
        <f t="shared" si="29"/>
        <v>-54</v>
      </c>
      <c r="I254" s="160">
        <f>54*6.28</f>
        <v>339.12</v>
      </c>
      <c r="J254" s="104"/>
      <c r="K254" s="104">
        <v>0</v>
      </c>
      <c r="L254" s="104">
        <v>0</v>
      </c>
      <c r="M254" s="161"/>
      <c r="N254" s="162">
        <f>F254*M254</f>
        <v>0</v>
      </c>
      <c r="O254" s="105"/>
    </row>
    <row r="255" spans="1:15" ht="15.5" x14ac:dyDescent="0.35">
      <c r="A255" s="8">
        <v>214</v>
      </c>
      <c r="B255" s="9" t="s">
        <v>29</v>
      </c>
      <c r="C255" s="10">
        <v>45653</v>
      </c>
      <c r="D255" s="62">
        <v>424</v>
      </c>
      <c r="E255" s="24">
        <v>424</v>
      </c>
      <c r="F255" s="6">
        <f>E255-D255</f>
        <v>0</v>
      </c>
      <c r="G255" s="89">
        <v>346</v>
      </c>
      <c r="H255" s="83">
        <f t="shared" si="29"/>
        <v>78</v>
      </c>
      <c r="I255" s="138"/>
      <c r="J255" s="93"/>
      <c r="K255" s="93"/>
      <c r="L255" s="93"/>
      <c r="M255" s="139"/>
      <c r="N255" s="90">
        <f>F255*M255</f>
        <v>0</v>
      </c>
      <c r="O255" s="4">
        <f>N254+N255</f>
        <v>0</v>
      </c>
    </row>
    <row r="256" spans="1:15" ht="15.5" x14ac:dyDescent="0.35">
      <c r="A256" s="17">
        <v>216</v>
      </c>
      <c r="B256" s="18"/>
      <c r="C256" s="19"/>
      <c r="D256" s="67"/>
      <c r="E256" s="49"/>
      <c r="F256" s="22"/>
      <c r="G256" s="85"/>
      <c r="H256" s="126"/>
      <c r="I256" s="160">
        <v>0</v>
      </c>
      <c r="J256" s="104"/>
      <c r="K256" s="104">
        <v>0</v>
      </c>
      <c r="L256" s="104">
        <v>0</v>
      </c>
      <c r="M256" s="139"/>
      <c r="N256" s="133"/>
      <c r="O256" s="86"/>
    </row>
    <row r="257" spans="1:15" s="106" customFormat="1" ht="15.5" x14ac:dyDescent="0.35">
      <c r="A257" s="214">
        <v>217</v>
      </c>
      <c r="B257" s="97"/>
      <c r="C257" s="98">
        <v>45603</v>
      </c>
      <c r="D257" s="220">
        <v>36676</v>
      </c>
      <c r="E257" s="100">
        <v>36676</v>
      </c>
      <c r="F257" s="158">
        <f>E257-D257</f>
        <v>0</v>
      </c>
      <c r="G257" s="103">
        <v>34665</v>
      </c>
      <c r="H257" s="159">
        <f>D257-G257</f>
        <v>2011</v>
      </c>
      <c r="I257" s="160">
        <v>0</v>
      </c>
      <c r="J257" s="104"/>
      <c r="K257" s="104">
        <v>0</v>
      </c>
      <c r="L257" s="104">
        <v>0</v>
      </c>
      <c r="M257" s="161"/>
      <c r="N257" s="162"/>
      <c r="O257" s="105"/>
    </row>
    <row r="258" spans="1:15" ht="15.5" x14ac:dyDescent="0.35">
      <c r="A258" s="8">
        <v>217</v>
      </c>
      <c r="B258" s="9" t="s">
        <v>8</v>
      </c>
      <c r="C258" s="10"/>
      <c r="D258" s="62"/>
      <c r="E258" s="24"/>
      <c r="F258" s="37">
        <f>E258-D258</f>
        <v>0</v>
      </c>
      <c r="G258" s="82"/>
      <c r="H258" s="83"/>
      <c r="I258" s="138"/>
      <c r="J258" s="93"/>
      <c r="K258" s="93"/>
      <c r="L258" s="93"/>
      <c r="M258" s="139"/>
      <c r="N258" s="90">
        <f>F258*M258</f>
        <v>0</v>
      </c>
      <c r="O258" s="4"/>
    </row>
    <row r="259" spans="1:15" ht="15.5" x14ac:dyDescent="0.35">
      <c r="A259" s="8">
        <v>217</v>
      </c>
      <c r="B259" s="9" t="s">
        <v>9</v>
      </c>
      <c r="C259" s="10"/>
      <c r="D259" s="62"/>
      <c r="E259" s="24"/>
      <c r="F259" s="37">
        <f>E259-D259</f>
        <v>0</v>
      </c>
      <c r="G259" s="82"/>
      <c r="H259" s="83"/>
      <c r="I259" s="138"/>
      <c r="J259" s="93"/>
      <c r="K259" s="93"/>
      <c r="L259" s="93"/>
      <c r="M259" s="139"/>
      <c r="N259" s="90">
        <f>F259*M259</f>
        <v>0</v>
      </c>
      <c r="O259" s="4">
        <f>N258+N259</f>
        <v>0</v>
      </c>
    </row>
    <row r="260" spans="1:15" s="106" customFormat="1" ht="15.5" x14ac:dyDescent="0.35">
      <c r="A260" s="165">
        <v>218</v>
      </c>
      <c r="B260" s="97" t="s">
        <v>78</v>
      </c>
      <c r="C260" s="166">
        <v>44536</v>
      </c>
      <c r="D260" s="167">
        <v>480</v>
      </c>
      <c r="E260" s="100">
        <v>480</v>
      </c>
      <c r="F260" s="158">
        <f>E260-D260</f>
        <v>0</v>
      </c>
      <c r="G260" s="103">
        <v>460</v>
      </c>
      <c r="H260" s="159">
        <f>D260-G260</f>
        <v>20</v>
      </c>
      <c r="I260" s="160">
        <v>0</v>
      </c>
      <c r="J260" s="104"/>
      <c r="K260" s="104">
        <v>0</v>
      </c>
      <c r="L260" s="104">
        <v>0</v>
      </c>
      <c r="M260" s="161"/>
      <c r="N260" s="162"/>
      <c r="O260" s="105"/>
    </row>
    <row r="261" spans="1:15" ht="15.5" x14ac:dyDescent="0.35">
      <c r="A261" s="8">
        <v>219</v>
      </c>
      <c r="B261" s="9"/>
      <c r="C261" s="10">
        <v>45628</v>
      </c>
      <c r="D261" s="168">
        <v>2046</v>
      </c>
      <c r="E261" s="150">
        <v>2046</v>
      </c>
      <c r="F261" s="6"/>
      <c r="G261" s="82"/>
      <c r="H261" s="83"/>
      <c r="I261" s="138"/>
      <c r="J261" s="93"/>
      <c r="K261" s="93"/>
      <c r="L261" s="93"/>
      <c r="M261" s="139"/>
      <c r="N261" s="90"/>
      <c r="O261" s="4"/>
    </row>
    <row r="262" spans="1:15" ht="15.5" x14ac:dyDescent="0.35">
      <c r="A262" s="8">
        <v>219</v>
      </c>
      <c r="B262" s="9"/>
      <c r="C262" s="10">
        <v>45628</v>
      </c>
      <c r="D262" s="168">
        <v>978</v>
      </c>
      <c r="E262" s="150">
        <v>978</v>
      </c>
      <c r="F262" s="6"/>
      <c r="G262" s="82"/>
      <c r="H262" s="83"/>
      <c r="I262" s="138"/>
      <c r="J262" s="93"/>
      <c r="K262" s="93"/>
      <c r="L262" s="93"/>
      <c r="M262" s="139"/>
      <c r="N262" s="90"/>
      <c r="O262" s="4"/>
    </row>
    <row r="263" spans="1:15" s="106" customFormat="1" ht="15.5" x14ac:dyDescent="0.35">
      <c r="A263" s="165">
        <v>219</v>
      </c>
      <c r="B263" s="97" t="s">
        <v>103</v>
      </c>
      <c r="C263" s="98">
        <v>45628</v>
      </c>
      <c r="D263" s="169">
        <v>6303</v>
      </c>
      <c r="E263" s="100">
        <v>6303</v>
      </c>
      <c r="F263" s="158">
        <f>E263-D263</f>
        <v>0</v>
      </c>
      <c r="G263" s="103">
        <v>5934</v>
      </c>
      <c r="H263" s="159">
        <f>D263-G263</f>
        <v>369</v>
      </c>
      <c r="I263" s="160">
        <v>0</v>
      </c>
      <c r="J263" s="104"/>
      <c r="K263" s="104">
        <v>0</v>
      </c>
      <c r="L263" s="104">
        <v>0</v>
      </c>
      <c r="M263" s="161"/>
      <c r="N263" s="162"/>
      <c r="O263" s="105"/>
    </row>
    <row r="264" spans="1:15" s="106" customFormat="1" ht="15.5" x14ac:dyDescent="0.35">
      <c r="A264" s="165">
        <v>220</v>
      </c>
      <c r="B264" s="97"/>
      <c r="C264" s="98">
        <v>45467</v>
      </c>
      <c r="D264" s="167">
        <f>1114+426</f>
        <v>1540</v>
      </c>
      <c r="E264" s="100">
        <v>1540</v>
      </c>
      <c r="F264" s="158">
        <f>E264-D264</f>
        <v>0</v>
      </c>
      <c r="G264" s="103">
        <v>1780</v>
      </c>
      <c r="H264" s="159">
        <f>D264-G264</f>
        <v>-240</v>
      </c>
      <c r="I264" s="160">
        <f>240*5.85</f>
        <v>1404</v>
      </c>
      <c r="J264" s="104"/>
      <c r="K264" s="104">
        <v>0</v>
      </c>
      <c r="L264" s="104">
        <v>0</v>
      </c>
      <c r="M264" s="161"/>
      <c r="N264" s="162"/>
      <c r="O264" s="105"/>
    </row>
    <row r="265" spans="1:15" s="106" customFormat="1" ht="13.5" customHeight="1" x14ac:dyDescent="0.35">
      <c r="A265" s="165">
        <v>221</v>
      </c>
      <c r="B265" s="97"/>
      <c r="C265" s="98">
        <v>45792</v>
      </c>
      <c r="D265" s="167">
        <v>222</v>
      </c>
      <c r="E265" s="100">
        <v>222</v>
      </c>
      <c r="F265" s="158">
        <v>0</v>
      </c>
      <c r="G265" s="103">
        <v>237</v>
      </c>
      <c r="H265" s="159">
        <f>D265-G265</f>
        <v>-15</v>
      </c>
      <c r="I265" s="160">
        <f>15*5.85</f>
        <v>87.75</v>
      </c>
      <c r="J265" s="104"/>
      <c r="K265" s="104">
        <v>0</v>
      </c>
      <c r="L265" s="104">
        <v>0</v>
      </c>
      <c r="M265" s="161"/>
      <c r="N265" s="162"/>
      <c r="O265" s="105"/>
    </row>
    <row r="266" spans="1:15" s="106" customFormat="1" ht="15.5" x14ac:dyDescent="0.35">
      <c r="A266" s="165">
        <v>222</v>
      </c>
      <c r="B266" s="97"/>
      <c r="C266" s="98">
        <v>45587</v>
      </c>
      <c r="D266" s="167">
        <f>22555+1143</f>
        <v>23698</v>
      </c>
      <c r="E266" s="100">
        <f>21417+1138+1143</f>
        <v>23698</v>
      </c>
      <c r="F266" s="158">
        <f>E266-D266</f>
        <v>0</v>
      </c>
      <c r="G266" s="103">
        <v>24172</v>
      </c>
      <c r="H266" s="159">
        <f>D266-G266</f>
        <v>-474</v>
      </c>
      <c r="I266" s="160">
        <f>474*5.85</f>
        <v>2772.8999999999996</v>
      </c>
      <c r="J266" s="104">
        <v>78.900000000000006</v>
      </c>
      <c r="K266" s="104">
        <v>300</v>
      </c>
      <c r="L266" s="104">
        <v>0</v>
      </c>
      <c r="M266" s="161"/>
      <c r="N266" s="162"/>
      <c r="O266" s="105"/>
    </row>
    <row r="267" spans="1:15" s="106" customFormat="1" ht="15.5" x14ac:dyDescent="0.35">
      <c r="A267" s="184">
        <v>223</v>
      </c>
      <c r="B267" s="185"/>
      <c r="C267" s="186" t="s">
        <v>116</v>
      </c>
      <c r="D267" s="187"/>
      <c r="E267" s="100"/>
      <c r="F267" s="158"/>
      <c r="G267" s="103"/>
      <c r="H267" s="159"/>
      <c r="I267" s="160">
        <v>0</v>
      </c>
      <c r="J267" s="104"/>
      <c r="K267" s="104">
        <v>0</v>
      </c>
      <c r="L267" s="104">
        <v>0</v>
      </c>
      <c r="M267" s="161"/>
      <c r="N267" s="162"/>
      <c r="O267" s="105"/>
    </row>
    <row r="268" spans="1:15" ht="15.5" x14ac:dyDescent="0.35">
      <c r="A268" s="251" t="s">
        <v>79</v>
      </c>
      <c r="B268" s="252"/>
      <c r="C268" s="252"/>
      <c r="D268" s="253"/>
      <c r="E268" s="5"/>
      <c r="F268" s="6"/>
      <c r="G268" s="88"/>
      <c r="H268" s="83"/>
      <c r="I268" s="138"/>
      <c r="J268" s="93"/>
      <c r="K268" s="93"/>
      <c r="L268" s="93"/>
      <c r="M268" s="139"/>
      <c r="N268" s="90"/>
      <c r="O268" s="4"/>
    </row>
    <row r="269" spans="1:15" s="106" customFormat="1" ht="15.5" x14ac:dyDescent="0.35">
      <c r="A269" s="188">
        <v>224</v>
      </c>
      <c r="B269" s="97"/>
      <c r="C269" s="98">
        <v>45572</v>
      </c>
      <c r="D269" s="196">
        <f>3870+409</f>
        <v>4279</v>
      </c>
      <c r="E269" s="100">
        <f>3870+409</f>
        <v>4279</v>
      </c>
      <c r="F269" s="158">
        <f t="shared" ref="F269:F285" si="30">E269-D269</f>
        <v>0</v>
      </c>
      <c r="G269" s="235">
        <v>3633</v>
      </c>
      <c r="H269" s="159">
        <f t="shared" ref="H269:H274" si="31">D269-G269</f>
        <v>646</v>
      </c>
      <c r="I269" s="160">
        <v>0</v>
      </c>
      <c r="J269" s="104"/>
      <c r="K269" s="104">
        <v>0</v>
      </c>
      <c r="L269" s="104">
        <v>0</v>
      </c>
      <c r="M269" s="161"/>
      <c r="N269" s="162"/>
      <c r="O269" s="105"/>
    </row>
    <row r="270" spans="1:15" s="106" customFormat="1" ht="15" customHeight="1" x14ac:dyDescent="0.35">
      <c r="A270" s="188">
        <v>225</v>
      </c>
      <c r="B270" s="97"/>
      <c r="C270" s="98">
        <v>45751</v>
      </c>
      <c r="D270" s="196">
        <f>252+3800</f>
        <v>4052</v>
      </c>
      <c r="E270" s="100">
        <f>252+3800</f>
        <v>4052</v>
      </c>
      <c r="F270" s="158">
        <f t="shared" si="30"/>
        <v>0</v>
      </c>
      <c r="G270" s="103">
        <v>3591</v>
      </c>
      <c r="H270" s="159">
        <f t="shared" si="31"/>
        <v>461</v>
      </c>
      <c r="I270" s="160">
        <v>0</v>
      </c>
      <c r="J270" s="104"/>
      <c r="K270" s="104">
        <v>0</v>
      </c>
      <c r="L270" s="104">
        <v>0</v>
      </c>
      <c r="M270" s="161"/>
      <c r="N270" s="162">
        <f>F270*M270</f>
        <v>0</v>
      </c>
      <c r="O270" s="105"/>
    </row>
    <row r="271" spans="1:15" s="106" customFormat="1" ht="15.5" x14ac:dyDescent="0.35">
      <c r="A271" s="188">
        <v>226</v>
      </c>
      <c r="B271" s="97"/>
      <c r="C271" s="98">
        <v>45482</v>
      </c>
      <c r="D271" s="196">
        <v>6843</v>
      </c>
      <c r="E271" s="100">
        <v>6843</v>
      </c>
      <c r="F271" s="158">
        <f t="shared" si="30"/>
        <v>0</v>
      </c>
      <c r="G271" s="103">
        <v>7447</v>
      </c>
      <c r="H271" s="159">
        <f t="shared" si="31"/>
        <v>-604</v>
      </c>
      <c r="I271" s="160">
        <f>604*5.85</f>
        <v>3533.3999999999996</v>
      </c>
      <c r="J271" s="104"/>
      <c r="K271" s="104">
        <v>0</v>
      </c>
      <c r="L271" s="104">
        <v>0</v>
      </c>
      <c r="M271" s="161"/>
      <c r="N271" s="162">
        <f>F271*M271</f>
        <v>0</v>
      </c>
      <c r="O271" s="105"/>
    </row>
    <row r="272" spans="1:15" s="106" customFormat="1" ht="15.5" x14ac:dyDescent="0.35">
      <c r="A272" s="188">
        <v>227</v>
      </c>
      <c r="B272" s="97"/>
      <c r="C272" s="98">
        <v>45677</v>
      </c>
      <c r="D272" s="196">
        <v>8625</v>
      </c>
      <c r="E272" s="100">
        <v>8625</v>
      </c>
      <c r="F272" s="158">
        <f t="shared" si="30"/>
        <v>0</v>
      </c>
      <c r="G272" s="103">
        <v>7942</v>
      </c>
      <c r="H272" s="159">
        <f t="shared" si="31"/>
        <v>683</v>
      </c>
      <c r="I272" s="160">
        <v>0</v>
      </c>
      <c r="J272" s="104"/>
      <c r="K272" s="104">
        <v>0</v>
      </c>
      <c r="L272" s="104">
        <v>0</v>
      </c>
      <c r="M272" s="161"/>
      <c r="N272" s="162"/>
      <c r="O272" s="105"/>
    </row>
    <row r="273" spans="1:15" s="106" customFormat="1" ht="15.5" x14ac:dyDescent="0.35">
      <c r="A273" s="188">
        <v>228</v>
      </c>
      <c r="B273" s="97"/>
      <c r="C273" s="98" t="s">
        <v>116</v>
      </c>
      <c r="D273" s="196"/>
      <c r="E273" s="100"/>
      <c r="F273" s="158"/>
      <c r="G273" s="103"/>
      <c r="H273" s="159"/>
      <c r="I273" s="160">
        <v>0</v>
      </c>
      <c r="J273" s="104"/>
      <c r="K273" s="104">
        <v>0</v>
      </c>
      <c r="L273" s="104">
        <v>0</v>
      </c>
      <c r="M273" s="161"/>
      <c r="N273" s="162"/>
      <c r="O273" s="105"/>
    </row>
    <row r="274" spans="1:15" s="106" customFormat="1" ht="15.5" x14ac:dyDescent="0.35">
      <c r="A274" s="188">
        <v>229</v>
      </c>
      <c r="B274" s="97"/>
      <c r="C274" s="98">
        <v>45611</v>
      </c>
      <c r="D274" s="196">
        <f>7229+242</f>
        <v>7471</v>
      </c>
      <c r="E274" s="100">
        <f>7229+242</f>
        <v>7471</v>
      </c>
      <c r="F274" s="158">
        <f t="shared" si="30"/>
        <v>0</v>
      </c>
      <c r="G274" s="103">
        <v>7568</v>
      </c>
      <c r="H274" s="159">
        <f t="shared" si="31"/>
        <v>-97</v>
      </c>
      <c r="I274" s="160">
        <f>97*5.85</f>
        <v>567.44999999999993</v>
      </c>
      <c r="J274" s="104"/>
      <c r="K274" s="104">
        <v>0</v>
      </c>
      <c r="L274" s="104">
        <v>0</v>
      </c>
      <c r="M274" s="161"/>
      <c r="N274" s="162">
        <f>F274*M274</f>
        <v>0</v>
      </c>
      <c r="O274" s="105"/>
    </row>
    <row r="275" spans="1:15" s="106" customFormat="1" ht="15.5" x14ac:dyDescent="0.35">
      <c r="A275" s="188">
        <v>230</v>
      </c>
      <c r="B275" s="97"/>
      <c r="C275" s="98" t="s">
        <v>116</v>
      </c>
      <c r="D275" s="196"/>
      <c r="E275" s="100"/>
      <c r="F275" s="158"/>
      <c r="G275" s="103"/>
      <c r="H275" s="159"/>
      <c r="I275" s="160">
        <v>0</v>
      </c>
      <c r="J275" s="104"/>
      <c r="K275" s="104">
        <v>0</v>
      </c>
      <c r="L275" s="104">
        <v>0</v>
      </c>
      <c r="M275" s="161"/>
      <c r="N275" s="162"/>
      <c r="O275" s="105"/>
    </row>
    <row r="276" spans="1:15" s="106" customFormat="1" ht="15.5" x14ac:dyDescent="0.35">
      <c r="A276" s="188">
        <v>231</v>
      </c>
      <c r="B276" s="97"/>
      <c r="C276" s="98">
        <v>45628</v>
      </c>
      <c r="D276" s="167">
        <v>12684</v>
      </c>
      <c r="E276" s="100">
        <v>12684</v>
      </c>
      <c r="F276" s="158">
        <f t="shared" si="30"/>
        <v>0</v>
      </c>
      <c r="G276" s="103">
        <v>12562</v>
      </c>
      <c r="H276" s="159">
        <v>122</v>
      </c>
      <c r="I276" s="160">
        <v>0</v>
      </c>
      <c r="J276" s="104"/>
      <c r="K276" s="104">
        <v>0</v>
      </c>
      <c r="L276" s="104">
        <v>0</v>
      </c>
      <c r="M276" s="161"/>
      <c r="N276" s="162"/>
      <c r="O276" s="105"/>
    </row>
    <row r="277" spans="1:15" ht="15.5" x14ac:dyDescent="0.35">
      <c r="A277" s="73">
        <v>232</v>
      </c>
      <c r="B277" s="9" t="s">
        <v>16</v>
      </c>
      <c r="C277" s="10">
        <v>45799</v>
      </c>
      <c r="D277" s="63">
        <f>902+383</f>
        <v>1285</v>
      </c>
      <c r="E277" s="24">
        <v>1285</v>
      </c>
      <c r="F277" s="6">
        <f t="shared" si="30"/>
        <v>0</v>
      </c>
      <c r="G277" s="88">
        <v>1383</v>
      </c>
      <c r="H277" s="83">
        <f t="shared" ref="H276:H292" si="32">D277-G277</f>
        <v>-98</v>
      </c>
      <c r="I277" s="138"/>
      <c r="J277" s="93"/>
      <c r="K277" s="93"/>
      <c r="L277" s="93"/>
      <c r="M277" s="139"/>
      <c r="N277" s="90"/>
      <c r="O277" s="4"/>
    </row>
    <row r="278" spans="1:15" s="106" customFormat="1" ht="15.5" x14ac:dyDescent="0.35">
      <c r="A278" s="188">
        <v>232</v>
      </c>
      <c r="B278" s="97" t="s">
        <v>29</v>
      </c>
      <c r="C278" s="98">
        <v>45799</v>
      </c>
      <c r="D278" s="167">
        <f>222+217</f>
        <v>439</v>
      </c>
      <c r="E278" s="100">
        <v>439</v>
      </c>
      <c r="F278" s="158">
        <f t="shared" si="30"/>
        <v>0</v>
      </c>
      <c r="G278" s="104">
        <v>504</v>
      </c>
      <c r="H278" s="159">
        <f t="shared" si="32"/>
        <v>-65</v>
      </c>
      <c r="I278" s="160">
        <f>98*6.28+65*3.4</f>
        <v>836.44</v>
      </c>
      <c r="J278" s="104"/>
      <c r="K278" s="104">
        <v>0</v>
      </c>
      <c r="L278" s="104">
        <v>0</v>
      </c>
      <c r="M278" s="161"/>
      <c r="N278" s="162">
        <f>M278*F278</f>
        <v>0</v>
      </c>
      <c r="O278" s="105"/>
    </row>
    <row r="279" spans="1:15" s="106" customFormat="1" ht="15.5" x14ac:dyDescent="0.35">
      <c r="A279" s="188">
        <v>233</v>
      </c>
      <c r="B279" s="97" t="s">
        <v>80</v>
      </c>
      <c r="C279" s="98">
        <v>45574</v>
      </c>
      <c r="D279" s="167">
        <v>480</v>
      </c>
      <c r="E279" s="100">
        <v>480</v>
      </c>
      <c r="F279" s="158">
        <f t="shared" si="30"/>
        <v>0</v>
      </c>
      <c r="G279" s="103">
        <v>613</v>
      </c>
      <c r="H279" s="159">
        <f t="shared" si="32"/>
        <v>-133</v>
      </c>
      <c r="I279" s="160">
        <f>133*5.85</f>
        <v>778.05</v>
      </c>
      <c r="J279" s="104"/>
      <c r="K279" s="104">
        <v>0</v>
      </c>
      <c r="L279" s="104">
        <v>0</v>
      </c>
      <c r="M279" s="161">
        <v>5.85</v>
      </c>
      <c r="N279" s="162">
        <f>M279*H279</f>
        <v>-778.05</v>
      </c>
      <c r="O279" s="105"/>
    </row>
    <row r="280" spans="1:15" ht="15.5" x14ac:dyDescent="0.35">
      <c r="A280" s="74" t="s">
        <v>81</v>
      </c>
      <c r="B280" s="71" t="s">
        <v>82</v>
      </c>
      <c r="C280" s="10">
        <v>45821</v>
      </c>
      <c r="D280" s="63">
        <v>29339</v>
      </c>
      <c r="E280" s="24">
        <v>29339</v>
      </c>
      <c r="F280" s="6">
        <f t="shared" si="30"/>
        <v>0</v>
      </c>
      <c r="G280" s="89">
        <v>29339</v>
      </c>
      <c r="H280" s="83">
        <f t="shared" si="32"/>
        <v>0</v>
      </c>
      <c r="I280" s="138"/>
      <c r="J280" s="93"/>
      <c r="K280" s="93"/>
      <c r="L280" s="93"/>
      <c r="M280" s="139"/>
      <c r="N280" s="90">
        <f>M280*F280</f>
        <v>0</v>
      </c>
      <c r="O280" s="4"/>
    </row>
    <row r="281" spans="1:15" ht="15.5" x14ac:dyDescent="0.35">
      <c r="A281" s="74"/>
      <c r="B281" s="71" t="s">
        <v>106</v>
      </c>
      <c r="C281" s="10">
        <v>45821</v>
      </c>
      <c r="D281" s="63">
        <v>12971</v>
      </c>
      <c r="E281" s="24">
        <v>12971</v>
      </c>
      <c r="F281" s="6">
        <f t="shared" si="30"/>
        <v>0</v>
      </c>
      <c r="G281" s="89">
        <v>12971</v>
      </c>
      <c r="H281" s="83">
        <f t="shared" si="32"/>
        <v>0</v>
      </c>
      <c r="I281" s="138"/>
      <c r="J281" s="93"/>
      <c r="K281" s="93"/>
      <c r="L281" s="93"/>
      <c r="M281" s="139"/>
      <c r="N281" s="90">
        <f>M281*F281</f>
        <v>0</v>
      </c>
      <c r="O281" s="4"/>
    </row>
    <row r="282" spans="1:15" s="106" customFormat="1" ht="15.5" x14ac:dyDescent="0.35">
      <c r="A282" s="188" t="s">
        <v>83</v>
      </c>
      <c r="B282" s="97" t="s">
        <v>73</v>
      </c>
      <c r="C282" s="98">
        <v>45821</v>
      </c>
      <c r="D282" s="167">
        <v>6344</v>
      </c>
      <c r="E282" s="100">
        <v>6344</v>
      </c>
      <c r="F282" s="158">
        <f t="shared" si="30"/>
        <v>0</v>
      </c>
      <c r="G282" s="103">
        <v>6300</v>
      </c>
      <c r="H282" s="159">
        <f t="shared" si="32"/>
        <v>44</v>
      </c>
      <c r="I282" s="160">
        <v>0</v>
      </c>
      <c r="J282" s="104"/>
      <c r="K282" s="104">
        <v>0</v>
      </c>
      <c r="L282" s="104">
        <v>0</v>
      </c>
      <c r="M282" s="161"/>
      <c r="N282" s="162">
        <f>M282*F282</f>
        <v>0</v>
      </c>
      <c r="O282" s="105"/>
    </row>
    <row r="283" spans="1:15" s="106" customFormat="1" ht="15.5" x14ac:dyDescent="0.35">
      <c r="A283" s="188">
        <v>235</v>
      </c>
      <c r="B283" s="97" t="s">
        <v>84</v>
      </c>
      <c r="C283" s="98">
        <v>45821</v>
      </c>
      <c r="D283" s="167">
        <v>43200</v>
      </c>
      <c r="E283" s="100">
        <v>43200</v>
      </c>
      <c r="F283" s="158">
        <f t="shared" si="30"/>
        <v>0</v>
      </c>
      <c r="G283" s="103">
        <v>42981</v>
      </c>
      <c r="H283" s="159">
        <f t="shared" si="32"/>
        <v>219</v>
      </c>
      <c r="I283" s="160">
        <v>0</v>
      </c>
      <c r="J283" s="104"/>
      <c r="K283" s="104">
        <v>0</v>
      </c>
      <c r="L283" s="104">
        <v>0</v>
      </c>
      <c r="M283" s="189"/>
      <c r="N283" s="162"/>
      <c r="O283" s="105"/>
    </row>
    <row r="284" spans="1:15" ht="15.5" x14ac:dyDescent="0.35">
      <c r="A284" s="73">
        <v>235</v>
      </c>
      <c r="B284" s="9" t="s">
        <v>85</v>
      </c>
      <c r="C284" s="10">
        <v>45821</v>
      </c>
      <c r="D284" s="63">
        <v>24050</v>
      </c>
      <c r="E284" s="24">
        <v>24050</v>
      </c>
      <c r="F284" s="6">
        <f t="shared" si="30"/>
        <v>0</v>
      </c>
      <c r="G284" s="89">
        <v>23923</v>
      </c>
      <c r="H284" s="83">
        <f t="shared" si="32"/>
        <v>127</v>
      </c>
      <c r="I284" s="138"/>
      <c r="J284" s="93"/>
      <c r="K284" s="93"/>
      <c r="L284" s="93"/>
      <c r="M284" s="145"/>
      <c r="N284" s="90"/>
      <c r="O284" s="4"/>
    </row>
    <row r="285" spans="1:15" s="106" customFormat="1" ht="15.5" x14ac:dyDescent="0.35">
      <c r="A285" s="236" t="s">
        <v>86</v>
      </c>
      <c r="B285" s="97" t="s">
        <v>14</v>
      </c>
      <c r="C285" s="233">
        <v>45572</v>
      </c>
      <c r="D285" s="196">
        <v>11059</v>
      </c>
      <c r="E285" s="192">
        <v>11059</v>
      </c>
      <c r="F285" s="193">
        <f t="shared" si="30"/>
        <v>0</v>
      </c>
      <c r="G285" s="103">
        <v>11906</v>
      </c>
      <c r="H285" s="159">
        <f t="shared" si="32"/>
        <v>-847</v>
      </c>
      <c r="I285" s="160">
        <v>0</v>
      </c>
      <c r="J285" s="104"/>
      <c r="K285" s="104">
        <v>0</v>
      </c>
      <c r="L285" s="104">
        <v>0</v>
      </c>
      <c r="M285" s="161"/>
      <c r="N285" s="162"/>
      <c r="O285" s="105"/>
    </row>
    <row r="286" spans="1:15" s="106" customFormat="1" ht="15.5" x14ac:dyDescent="0.35">
      <c r="A286" s="188">
        <v>238</v>
      </c>
      <c r="B286" s="97"/>
      <c r="C286" s="98">
        <v>45173</v>
      </c>
      <c r="D286" s="167">
        <f>6870+525+500+770</f>
        <v>8665</v>
      </c>
      <c r="E286" s="100">
        <v>8665</v>
      </c>
      <c r="F286" s="158">
        <f>E286-D286</f>
        <v>0</v>
      </c>
      <c r="G286" s="103">
        <v>7730</v>
      </c>
      <c r="H286" s="159">
        <f t="shared" si="32"/>
        <v>935</v>
      </c>
      <c r="I286" s="160">
        <v>0</v>
      </c>
      <c r="J286" s="104">
        <f>K286*0.263</f>
        <v>131.5</v>
      </c>
      <c r="K286" s="104">
        <v>500</v>
      </c>
      <c r="L286" s="104">
        <v>0</v>
      </c>
      <c r="M286" s="161"/>
      <c r="N286" s="162"/>
      <c r="O286" s="105"/>
    </row>
    <row r="287" spans="1:15" s="106" customFormat="1" ht="15.5" x14ac:dyDescent="0.35">
      <c r="A287" s="188" t="s">
        <v>87</v>
      </c>
      <c r="B287" s="97"/>
      <c r="C287" s="98">
        <v>45474</v>
      </c>
      <c r="D287" s="167">
        <v>6553</v>
      </c>
      <c r="E287" s="100">
        <v>6553</v>
      </c>
      <c r="F287" s="158">
        <f>E287-D287</f>
        <v>0</v>
      </c>
      <c r="G287" s="103">
        <v>7123</v>
      </c>
      <c r="H287" s="159">
        <f t="shared" si="32"/>
        <v>-570</v>
      </c>
      <c r="I287" s="160">
        <f>570*5.85</f>
        <v>3334.5</v>
      </c>
      <c r="J287" s="104"/>
      <c r="K287" s="104">
        <v>0</v>
      </c>
      <c r="L287" s="104">
        <v>0</v>
      </c>
      <c r="M287" s="161"/>
      <c r="N287" s="162"/>
      <c r="O287" s="105"/>
    </row>
    <row r="288" spans="1:15" s="106" customFormat="1" ht="15" customHeight="1" x14ac:dyDescent="0.35">
      <c r="A288" s="188">
        <v>241</v>
      </c>
      <c r="B288" s="97"/>
      <c r="C288" s="98">
        <v>45481</v>
      </c>
      <c r="D288" s="167">
        <v>9810</v>
      </c>
      <c r="E288" s="100">
        <v>9810</v>
      </c>
      <c r="F288" s="158">
        <f>E288-D288</f>
        <v>0</v>
      </c>
      <c r="G288" s="103">
        <v>9872</v>
      </c>
      <c r="H288" s="159">
        <f t="shared" si="32"/>
        <v>-62</v>
      </c>
      <c r="I288" s="160">
        <f>62*5.85</f>
        <v>362.7</v>
      </c>
      <c r="J288" s="104">
        <v>78.900000000000006</v>
      </c>
      <c r="K288" s="104">
        <v>300</v>
      </c>
      <c r="L288" s="104">
        <v>0</v>
      </c>
      <c r="M288" s="161"/>
      <c r="N288" s="162">
        <f>F288*M288</f>
        <v>0</v>
      </c>
      <c r="O288" s="105"/>
    </row>
    <row r="289" spans="1:15" s="106" customFormat="1" ht="15.5" x14ac:dyDescent="0.35">
      <c r="A289" s="188">
        <v>242</v>
      </c>
      <c r="B289" s="97"/>
      <c r="C289" s="98"/>
      <c r="D289" s="167"/>
      <c r="E289" s="100"/>
      <c r="F289" s="158"/>
      <c r="G289" s="103"/>
      <c r="H289" s="159">
        <f t="shared" si="32"/>
        <v>0</v>
      </c>
      <c r="I289" s="160">
        <v>0</v>
      </c>
      <c r="J289" s="104"/>
      <c r="K289" s="104">
        <v>0</v>
      </c>
      <c r="L289" s="104">
        <v>0</v>
      </c>
      <c r="M289" s="161"/>
      <c r="N289" s="162"/>
      <c r="O289" s="105"/>
    </row>
    <row r="290" spans="1:15" ht="15.5" x14ac:dyDescent="0.35">
      <c r="A290" s="75">
        <v>243</v>
      </c>
      <c r="B290" s="18"/>
      <c r="C290" s="10">
        <v>45694</v>
      </c>
      <c r="D290" s="65"/>
      <c r="E290" s="49"/>
      <c r="F290" s="22"/>
      <c r="G290" s="85"/>
      <c r="H290" s="159">
        <f t="shared" si="32"/>
        <v>0</v>
      </c>
      <c r="I290" s="160">
        <v>0</v>
      </c>
      <c r="J290" s="104">
        <f>(K290+L290)*0.263</f>
        <v>2524.8000000000002</v>
      </c>
      <c r="K290" s="104">
        <v>300</v>
      </c>
      <c r="L290" s="104">
        <v>9300</v>
      </c>
      <c r="M290" s="139"/>
      <c r="N290" s="133"/>
      <c r="O290" s="86"/>
    </row>
    <row r="291" spans="1:15" ht="15.5" x14ac:dyDescent="0.35">
      <c r="A291" s="75">
        <v>244</v>
      </c>
      <c r="B291" s="18"/>
      <c r="C291" s="19">
        <v>44921</v>
      </c>
      <c r="D291" s="65"/>
      <c r="E291" s="49"/>
      <c r="F291" s="22"/>
      <c r="G291" s="85"/>
      <c r="H291" s="159">
        <f t="shared" si="32"/>
        <v>0</v>
      </c>
      <c r="I291" s="160">
        <v>0</v>
      </c>
      <c r="J291" s="104"/>
      <c r="K291" s="104">
        <v>0</v>
      </c>
      <c r="L291" s="104">
        <v>0</v>
      </c>
      <c r="M291" s="139"/>
      <c r="N291" s="133"/>
      <c r="O291" s="86"/>
    </row>
    <row r="292" spans="1:15" s="106" customFormat="1" ht="15.5" x14ac:dyDescent="0.35">
      <c r="A292" s="188">
        <v>245</v>
      </c>
      <c r="B292" s="97"/>
      <c r="C292" s="98">
        <v>45763</v>
      </c>
      <c r="D292" s="167">
        <v>13187</v>
      </c>
      <c r="E292" s="100">
        <v>13187</v>
      </c>
      <c r="F292" s="158">
        <f t="shared" ref="F292:F297" si="33">E292-D292</f>
        <v>0</v>
      </c>
      <c r="G292" s="103">
        <v>14226</v>
      </c>
      <c r="H292" s="159">
        <f t="shared" si="32"/>
        <v>-1039</v>
      </c>
      <c r="I292" s="160">
        <f>1039*5.85</f>
        <v>6078.15</v>
      </c>
      <c r="J292" s="104"/>
      <c r="K292" s="104">
        <v>0</v>
      </c>
      <c r="L292" s="104">
        <v>0</v>
      </c>
      <c r="M292" s="161"/>
      <c r="N292" s="162">
        <f>M292*F292</f>
        <v>0</v>
      </c>
      <c r="O292" s="105"/>
    </row>
    <row r="293" spans="1:15" s="106" customFormat="1" ht="15.5" x14ac:dyDescent="0.35">
      <c r="A293" s="188" t="s">
        <v>88</v>
      </c>
      <c r="B293" s="97" t="s">
        <v>89</v>
      </c>
      <c r="C293" s="98">
        <v>45798</v>
      </c>
      <c r="D293" s="196">
        <f>800+8160</f>
        <v>8960</v>
      </c>
      <c r="E293" s="100">
        <f>800+8160</f>
        <v>8960</v>
      </c>
      <c r="F293" s="158">
        <f t="shared" si="33"/>
        <v>0</v>
      </c>
      <c r="G293" s="103">
        <v>9775</v>
      </c>
      <c r="H293" s="159">
        <f t="shared" ref="H293:H295" si="34">D293-G293</f>
        <v>-815</v>
      </c>
      <c r="I293" s="160">
        <f>815*5.85</f>
        <v>4767.75</v>
      </c>
      <c r="J293" s="104"/>
      <c r="K293" s="104">
        <v>0</v>
      </c>
      <c r="L293" s="104">
        <v>0</v>
      </c>
      <c r="M293" s="161"/>
      <c r="N293" s="162">
        <f>F293*M293</f>
        <v>0</v>
      </c>
      <c r="O293" s="105"/>
    </row>
    <row r="294" spans="1:15" s="106" customFormat="1" ht="15.5" x14ac:dyDescent="0.35">
      <c r="A294" s="188">
        <v>248</v>
      </c>
      <c r="B294" s="97"/>
      <c r="C294" s="98">
        <v>45061</v>
      </c>
      <c r="D294" s="196">
        <v>1848</v>
      </c>
      <c r="E294" s="100">
        <v>1848</v>
      </c>
      <c r="F294" s="158">
        <f t="shared" si="33"/>
        <v>0</v>
      </c>
      <c r="G294" s="103">
        <v>459</v>
      </c>
      <c r="H294" s="159">
        <f t="shared" si="34"/>
        <v>1389</v>
      </c>
      <c r="I294" s="160">
        <v>0</v>
      </c>
      <c r="J294" s="104"/>
      <c r="K294" s="104">
        <v>0</v>
      </c>
      <c r="L294" s="104">
        <v>0</v>
      </c>
      <c r="M294" s="161"/>
      <c r="N294" s="162">
        <f>F294*M294</f>
        <v>0</v>
      </c>
      <c r="O294" s="105"/>
    </row>
    <row r="295" spans="1:15" s="106" customFormat="1" ht="15.5" x14ac:dyDescent="0.35">
      <c r="A295" s="188">
        <v>249</v>
      </c>
      <c r="B295" s="97"/>
      <c r="C295" s="98">
        <v>44389</v>
      </c>
      <c r="D295" s="167">
        <v>1410</v>
      </c>
      <c r="E295" s="100">
        <v>1712</v>
      </c>
      <c r="F295" s="158">
        <f t="shared" si="33"/>
        <v>302</v>
      </c>
      <c r="G295" s="103">
        <v>1818</v>
      </c>
      <c r="H295" s="159">
        <f t="shared" si="34"/>
        <v>-408</v>
      </c>
      <c r="I295" s="160">
        <f>408*5.85</f>
        <v>2386.7999999999997</v>
      </c>
      <c r="J295" s="104">
        <f>(K295+L295)*0.263</f>
        <v>6838</v>
      </c>
      <c r="K295" s="104">
        <f>300+500+400</f>
        <v>1200</v>
      </c>
      <c r="L295" s="104">
        <f>7500+8000+9300</f>
        <v>24800</v>
      </c>
      <c r="M295" s="161"/>
      <c r="N295" s="162"/>
      <c r="O295" s="105"/>
    </row>
    <row r="296" spans="1:15" ht="15.5" x14ac:dyDescent="0.35">
      <c r="A296" s="73">
        <v>250</v>
      </c>
      <c r="B296" s="9" t="s">
        <v>16</v>
      </c>
      <c r="C296" s="10">
        <v>45810</v>
      </c>
      <c r="D296" s="62">
        <v>8763</v>
      </c>
      <c r="E296" s="24">
        <v>8763</v>
      </c>
      <c r="F296" s="6">
        <f t="shared" si="33"/>
        <v>0</v>
      </c>
      <c r="G296" s="82"/>
      <c r="H296" s="83"/>
      <c r="I296" s="138"/>
      <c r="J296" s="93"/>
      <c r="K296" s="93"/>
      <c r="L296" s="93"/>
      <c r="M296" s="139"/>
      <c r="N296" s="90">
        <v>6.28</v>
      </c>
      <c r="O296" s="4">
        <f>N296*F296</f>
        <v>0</v>
      </c>
    </row>
    <row r="297" spans="1:15" ht="15.5" x14ac:dyDescent="0.35">
      <c r="A297" s="73">
        <v>250</v>
      </c>
      <c r="B297" s="9" t="s">
        <v>29</v>
      </c>
      <c r="C297" s="10">
        <v>45810</v>
      </c>
      <c r="D297" s="62">
        <v>2640</v>
      </c>
      <c r="E297" s="24">
        <v>2640</v>
      </c>
      <c r="F297" s="6">
        <f t="shared" si="33"/>
        <v>0</v>
      </c>
      <c r="G297" s="82"/>
      <c r="H297" s="83"/>
      <c r="I297" s="138"/>
      <c r="J297" s="93"/>
      <c r="K297" s="93"/>
      <c r="L297" s="93"/>
      <c r="M297" s="139"/>
      <c r="N297" s="90">
        <v>3.4</v>
      </c>
      <c r="O297" s="4">
        <f>N297*F297</f>
        <v>0</v>
      </c>
    </row>
    <row r="298" spans="1:15" s="106" customFormat="1" ht="15.5" x14ac:dyDescent="0.35">
      <c r="A298" s="188">
        <v>250</v>
      </c>
      <c r="B298" s="97"/>
      <c r="C298" s="98">
        <v>45810</v>
      </c>
      <c r="D298" s="196">
        <v>11756</v>
      </c>
      <c r="E298" s="100">
        <f>41+11579+118+18</f>
        <v>11756</v>
      </c>
      <c r="F298" s="158">
        <f t="shared" ref="F298:F304" si="35">E298-D298</f>
        <v>0</v>
      </c>
      <c r="G298" s="103">
        <v>11948</v>
      </c>
      <c r="H298" s="159">
        <f>D298-G298</f>
        <v>-192</v>
      </c>
      <c r="I298" s="160">
        <f>192*5.85</f>
        <v>1123.1999999999998</v>
      </c>
      <c r="J298" s="104"/>
      <c r="K298" s="104">
        <v>0</v>
      </c>
      <c r="L298" s="104">
        <v>0</v>
      </c>
      <c r="M298" s="161"/>
      <c r="N298" s="162"/>
      <c r="O298" s="105">
        <f>O297+O296</f>
        <v>0</v>
      </c>
    </row>
    <row r="299" spans="1:15" ht="15.5" x14ac:dyDescent="0.35">
      <c r="A299" s="73">
        <v>251</v>
      </c>
      <c r="B299" s="9" t="s">
        <v>107</v>
      </c>
      <c r="C299" s="10">
        <v>45814</v>
      </c>
      <c r="D299" s="62">
        <v>5510</v>
      </c>
      <c r="E299" s="24">
        <v>5510</v>
      </c>
      <c r="F299" s="6">
        <f t="shared" si="35"/>
        <v>0</v>
      </c>
      <c r="G299" s="82"/>
      <c r="H299" s="83"/>
      <c r="I299" s="138"/>
      <c r="J299" s="93"/>
      <c r="K299" s="93"/>
      <c r="L299" s="93"/>
      <c r="M299" s="139"/>
      <c r="N299" s="90">
        <f>F299*6.28</f>
        <v>0</v>
      </c>
      <c r="O299" s="4"/>
    </row>
    <row r="300" spans="1:15" ht="15.5" x14ac:dyDescent="0.35">
      <c r="A300" s="73">
        <v>251</v>
      </c>
      <c r="B300" s="9" t="s">
        <v>108</v>
      </c>
      <c r="C300" s="10">
        <v>45814</v>
      </c>
      <c r="D300" s="62">
        <v>2200</v>
      </c>
      <c r="E300" s="24">
        <v>2200</v>
      </c>
      <c r="F300" s="6">
        <f t="shared" si="35"/>
        <v>0</v>
      </c>
      <c r="G300" s="82"/>
      <c r="H300" s="83"/>
      <c r="I300" s="138"/>
      <c r="J300" s="93"/>
      <c r="K300" s="93"/>
      <c r="L300" s="93"/>
      <c r="M300" s="139"/>
      <c r="N300" s="90">
        <f>F300*3.5</f>
        <v>0</v>
      </c>
      <c r="O300" s="4">
        <f>N299+N300</f>
        <v>0</v>
      </c>
    </row>
    <row r="301" spans="1:15" s="106" customFormat="1" ht="15.5" x14ac:dyDescent="0.35">
      <c r="A301" s="188">
        <v>251</v>
      </c>
      <c r="B301" s="97" t="s">
        <v>28</v>
      </c>
      <c r="C301" s="98">
        <v>45814</v>
      </c>
      <c r="D301" s="196">
        <f>12628+75</f>
        <v>12703</v>
      </c>
      <c r="E301" s="100">
        <f>11943+85+125+80+190+205+75</f>
        <v>12703</v>
      </c>
      <c r="F301" s="158">
        <f t="shared" si="35"/>
        <v>0</v>
      </c>
      <c r="G301" s="103">
        <v>11771</v>
      </c>
      <c r="H301" s="159">
        <f>D301-G301</f>
        <v>932</v>
      </c>
      <c r="I301" s="160">
        <v>0</v>
      </c>
      <c r="J301" s="104"/>
      <c r="K301" s="104">
        <v>0</v>
      </c>
      <c r="L301" s="104">
        <v>0</v>
      </c>
      <c r="M301" s="161"/>
      <c r="N301" s="162"/>
      <c r="O301" s="105"/>
    </row>
    <row r="302" spans="1:15" s="106" customFormat="1" ht="15.5" x14ac:dyDescent="0.35">
      <c r="A302" s="188">
        <v>252</v>
      </c>
      <c r="B302" s="97" t="s">
        <v>90</v>
      </c>
      <c r="C302" s="98">
        <v>45761</v>
      </c>
      <c r="D302" s="167">
        <v>6195</v>
      </c>
      <c r="E302" s="231">
        <v>6195</v>
      </c>
      <c r="F302" s="158">
        <f t="shared" si="35"/>
        <v>0</v>
      </c>
      <c r="G302" s="103">
        <v>7135</v>
      </c>
      <c r="H302" s="159">
        <f>E302-G302</f>
        <v>-940</v>
      </c>
      <c r="I302" s="160">
        <f>5903.2+1652.4</f>
        <v>7555.6</v>
      </c>
      <c r="J302" s="104"/>
      <c r="K302" s="104">
        <v>0</v>
      </c>
      <c r="L302" s="104">
        <v>0</v>
      </c>
      <c r="M302" s="161"/>
      <c r="N302" s="162"/>
      <c r="O302" s="105"/>
    </row>
    <row r="303" spans="1:15" ht="15.5" x14ac:dyDescent="0.35">
      <c r="A303" s="73">
        <v>252</v>
      </c>
      <c r="B303" s="9" t="s">
        <v>91</v>
      </c>
      <c r="C303" s="10">
        <v>45761</v>
      </c>
      <c r="D303" s="63">
        <v>2757</v>
      </c>
      <c r="E303" s="76">
        <v>2757</v>
      </c>
      <c r="F303" s="6">
        <f t="shared" si="35"/>
        <v>0</v>
      </c>
      <c r="G303" s="89">
        <v>3243</v>
      </c>
      <c r="H303" s="127">
        <f>E303-G303</f>
        <v>-486</v>
      </c>
      <c r="I303" s="144"/>
      <c r="J303" s="95"/>
      <c r="K303" s="95"/>
      <c r="L303" s="95"/>
      <c r="M303" s="139"/>
      <c r="N303" s="90"/>
      <c r="O303" s="4"/>
    </row>
    <row r="304" spans="1:15" s="106" customFormat="1" ht="15.5" x14ac:dyDescent="0.35">
      <c r="A304" s="188">
        <v>253</v>
      </c>
      <c r="B304" s="97" t="s">
        <v>28</v>
      </c>
      <c r="C304" s="98">
        <v>45155</v>
      </c>
      <c r="D304" s="167">
        <f>8600+55</f>
        <v>8655</v>
      </c>
      <c r="E304" s="100">
        <v>8655</v>
      </c>
      <c r="F304" s="158">
        <f t="shared" si="35"/>
        <v>0</v>
      </c>
      <c r="G304" s="103">
        <v>8920</v>
      </c>
      <c r="H304" s="159">
        <f>D304-G304</f>
        <v>-265</v>
      </c>
      <c r="I304" s="160">
        <f>265*5.85</f>
        <v>1550.25</v>
      </c>
      <c r="J304" s="104"/>
      <c r="K304" s="104">
        <v>300</v>
      </c>
      <c r="L304" s="104">
        <v>8800</v>
      </c>
      <c r="M304" s="161"/>
      <c r="N304" s="162"/>
      <c r="O304" s="105"/>
    </row>
    <row r="305" spans="1:15" ht="15.5" x14ac:dyDescent="0.35">
      <c r="A305" s="73">
        <v>253</v>
      </c>
      <c r="B305" s="9" t="s">
        <v>14</v>
      </c>
      <c r="C305" s="10">
        <v>44917</v>
      </c>
      <c r="D305" s="63">
        <v>15700</v>
      </c>
      <c r="E305" s="24"/>
      <c r="F305" s="6"/>
      <c r="G305" s="82"/>
      <c r="H305" s="83"/>
      <c r="I305" s="138"/>
      <c r="J305" s="93"/>
      <c r="K305" s="93"/>
      <c r="L305" s="93"/>
      <c r="M305" s="139"/>
      <c r="N305" s="90"/>
      <c r="O305" s="4"/>
    </row>
    <row r="306" spans="1:15" s="106" customFormat="1" ht="15.5" x14ac:dyDescent="0.35">
      <c r="A306" s="188">
        <v>254</v>
      </c>
      <c r="B306" s="97" t="s">
        <v>28</v>
      </c>
      <c r="C306" s="98">
        <v>45654</v>
      </c>
      <c r="D306" s="167">
        <v>19563</v>
      </c>
      <c r="E306" s="100">
        <v>19563</v>
      </c>
      <c r="F306" s="158">
        <f>E306-D306</f>
        <v>0</v>
      </c>
      <c r="G306" s="103">
        <v>19563</v>
      </c>
      <c r="H306" s="159">
        <v>0</v>
      </c>
      <c r="I306" s="160">
        <v>0</v>
      </c>
      <c r="J306" s="104"/>
      <c r="K306" s="104">
        <v>0</v>
      </c>
      <c r="L306" s="104">
        <v>0</v>
      </c>
      <c r="M306" s="161"/>
      <c r="N306" s="162"/>
      <c r="O306" s="105"/>
    </row>
    <row r="307" spans="1:15" ht="15.5" x14ac:dyDescent="0.35">
      <c r="A307" s="73">
        <v>254</v>
      </c>
      <c r="B307" s="9" t="s">
        <v>8</v>
      </c>
      <c r="C307" s="10">
        <v>45654</v>
      </c>
      <c r="D307" s="62">
        <v>5804</v>
      </c>
      <c r="E307" s="24">
        <v>5804</v>
      </c>
      <c r="F307" s="6">
        <f>E307-D307</f>
        <v>0</v>
      </c>
      <c r="G307" s="89"/>
      <c r="H307" s="127"/>
      <c r="I307" s="144"/>
      <c r="J307" s="95"/>
      <c r="K307" s="95"/>
      <c r="L307" s="95"/>
      <c r="M307" s="139"/>
      <c r="N307" s="90">
        <v>5.38</v>
      </c>
      <c r="O307" s="4">
        <f>N307*F307</f>
        <v>0</v>
      </c>
    </row>
    <row r="308" spans="1:15" ht="15.5" x14ac:dyDescent="0.35">
      <c r="A308" s="73">
        <v>254</v>
      </c>
      <c r="B308" s="9" t="s">
        <v>9</v>
      </c>
      <c r="C308" s="10">
        <v>45654</v>
      </c>
      <c r="D308" s="62">
        <v>2136</v>
      </c>
      <c r="E308" s="24">
        <v>2136</v>
      </c>
      <c r="F308" s="6">
        <f>E308-D308</f>
        <v>0</v>
      </c>
      <c r="G308" s="89"/>
      <c r="H308" s="127"/>
      <c r="I308" s="144"/>
      <c r="J308" s="95"/>
      <c r="K308" s="95"/>
      <c r="L308" s="95"/>
      <c r="M308" s="139"/>
      <c r="N308" s="90">
        <v>3.09</v>
      </c>
      <c r="O308" s="4">
        <f>N308*F308</f>
        <v>0</v>
      </c>
    </row>
    <row r="309" spans="1:15" ht="15.5" x14ac:dyDescent="0.35">
      <c r="A309" s="75">
        <v>255</v>
      </c>
      <c r="B309" s="18"/>
      <c r="C309" s="19">
        <v>45084</v>
      </c>
      <c r="D309" s="67"/>
      <c r="E309" s="49"/>
      <c r="F309" s="22"/>
      <c r="G309" s="85"/>
      <c r="H309" s="126">
        <f>D309-G309</f>
        <v>0</v>
      </c>
      <c r="I309" s="160">
        <v>0</v>
      </c>
      <c r="J309" s="104"/>
      <c r="K309" s="104">
        <v>0</v>
      </c>
      <c r="L309" s="104">
        <v>0</v>
      </c>
      <c r="M309" s="139"/>
      <c r="N309" s="133"/>
      <c r="O309" s="86">
        <f>O308+O307</f>
        <v>0</v>
      </c>
    </row>
    <row r="310" spans="1:15" ht="15.5" x14ac:dyDescent="0.35">
      <c r="A310" s="73">
        <v>256</v>
      </c>
      <c r="B310" s="9"/>
      <c r="C310" s="10">
        <v>45821</v>
      </c>
      <c r="D310" s="63">
        <v>44613</v>
      </c>
      <c r="E310" s="24">
        <v>44613</v>
      </c>
      <c r="F310" s="6">
        <f>E310-D310</f>
        <v>0</v>
      </c>
      <c r="G310" s="82"/>
      <c r="H310" s="83"/>
      <c r="I310" s="138"/>
      <c r="J310" s="93"/>
      <c r="K310" s="93"/>
      <c r="L310" s="93"/>
      <c r="M310" s="139"/>
      <c r="N310" s="90">
        <f>F310*M310</f>
        <v>0</v>
      </c>
      <c r="O310" s="4"/>
    </row>
    <row r="311" spans="1:15" s="106" customFormat="1" ht="15.5" x14ac:dyDescent="0.35">
      <c r="A311" s="188">
        <v>256</v>
      </c>
      <c r="B311" s="97"/>
      <c r="C311" s="98">
        <v>45821</v>
      </c>
      <c r="D311" s="167">
        <f>25386+132</f>
        <v>25518</v>
      </c>
      <c r="E311" s="100">
        <f>D311</f>
        <v>25518</v>
      </c>
      <c r="F311" s="158">
        <f>E311-D311</f>
        <v>0</v>
      </c>
      <c r="G311" s="103">
        <v>25518</v>
      </c>
      <c r="H311" s="159">
        <f>D311-G311</f>
        <v>0</v>
      </c>
      <c r="I311" s="160"/>
      <c r="J311" s="104"/>
      <c r="K311" s="104"/>
      <c r="L311" s="104"/>
      <c r="M311" s="161"/>
      <c r="N311" s="162"/>
      <c r="O311" s="105"/>
    </row>
    <row r="312" spans="1:15" s="106" customFormat="1" ht="15.5" x14ac:dyDescent="0.35">
      <c r="A312" s="188">
        <v>257</v>
      </c>
      <c r="B312" s="97"/>
      <c r="C312" s="98" t="s">
        <v>116</v>
      </c>
      <c r="D312" s="167"/>
      <c r="E312" s="100"/>
      <c r="F312" s="158"/>
      <c r="G312" s="103"/>
      <c r="H312" s="159"/>
      <c r="I312" s="160">
        <v>0</v>
      </c>
      <c r="J312" s="104"/>
      <c r="K312" s="104">
        <v>0</v>
      </c>
      <c r="L312" s="104">
        <v>0</v>
      </c>
      <c r="M312" s="161"/>
      <c r="N312" s="162"/>
      <c r="O312" s="105"/>
    </row>
    <row r="313" spans="1:15" s="106" customFormat="1" ht="15.5" x14ac:dyDescent="0.35">
      <c r="A313" s="188">
        <v>258</v>
      </c>
      <c r="B313" s="97"/>
      <c r="C313" s="98">
        <v>45761</v>
      </c>
      <c r="D313" s="196">
        <f>33770+372</f>
        <v>34142</v>
      </c>
      <c r="E313" s="100">
        <v>34142</v>
      </c>
      <c r="F313" s="158">
        <f>E313-D313</f>
        <v>0</v>
      </c>
      <c r="G313" s="103">
        <v>34622</v>
      </c>
      <c r="H313" s="159">
        <f>D313-G313</f>
        <v>-480</v>
      </c>
      <c r="I313" s="160">
        <f>480*5.85</f>
        <v>2808</v>
      </c>
      <c r="J313" s="104"/>
      <c r="K313" s="104">
        <v>0</v>
      </c>
      <c r="L313" s="104">
        <v>0</v>
      </c>
      <c r="M313" s="161"/>
      <c r="N313" s="162">
        <f>F313*M313</f>
        <v>0</v>
      </c>
      <c r="O313" s="105"/>
    </row>
    <row r="314" spans="1:15" s="116" customFormat="1" ht="15.5" x14ac:dyDescent="0.35">
      <c r="A314" s="188">
        <v>259</v>
      </c>
      <c r="B314" s="97"/>
      <c r="C314" s="98" t="s">
        <v>116</v>
      </c>
      <c r="D314" s="196"/>
      <c r="E314" s="100"/>
      <c r="F314" s="158"/>
      <c r="G314" s="103"/>
      <c r="H314" s="159"/>
      <c r="I314" s="160">
        <v>0</v>
      </c>
      <c r="J314" s="104"/>
      <c r="K314" s="104">
        <v>0</v>
      </c>
      <c r="L314" s="104">
        <v>0</v>
      </c>
      <c r="M314" s="161"/>
      <c r="N314" s="131"/>
      <c r="O314" s="115"/>
    </row>
    <row r="315" spans="1:15" s="106" customFormat="1" ht="15.5" x14ac:dyDescent="0.35">
      <c r="A315" s="188">
        <v>260</v>
      </c>
      <c r="B315" s="97" t="s">
        <v>92</v>
      </c>
      <c r="C315" s="98">
        <v>45572</v>
      </c>
      <c r="D315" s="167">
        <v>3790</v>
      </c>
      <c r="E315" s="100">
        <v>3790</v>
      </c>
      <c r="F315" s="158">
        <f>E315-D315</f>
        <v>0</v>
      </c>
      <c r="G315" s="103">
        <v>3797</v>
      </c>
      <c r="H315" s="159">
        <f t="shared" ref="H315:H321" si="36">D315-G315</f>
        <v>-7</v>
      </c>
      <c r="I315" s="160">
        <v>0</v>
      </c>
      <c r="J315" s="104"/>
      <c r="K315" s="104">
        <v>0</v>
      </c>
      <c r="L315" s="104">
        <v>0</v>
      </c>
      <c r="M315" s="161"/>
      <c r="N315" s="162"/>
      <c r="O315" s="105"/>
    </row>
    <row r="316" spans="1:15" ht="15.5" x14ac:dyDescent="0.35">
      <c r="A316" s="251" t="s">
        <v>93</v>
      </c>
      <c r="B316" s="252"/>
      <c r="C316" s="252"/>
      <c r="D316" s="253"/>
      <c r="E316" s="5"/>
      <c r="F316" s="6"/>
      <c r="G316" s="82"/>
      <c r="H316" s="83">
        <f t="shared" si="36"/>
        <v>0</v>
      </c>
      <c r="I316" s="138"/>
      <c r="J316" s="93"/>
      <c r="K316" s="93"/>
      <c r="L316" s="93"/>
      <c r="M316" s="139"/>
      <c r="N316" s="90"/>
      <c r="O316" s="4"/>
    </row>
    <row r="317" spans="1:15" ht="15.5" x14ac:dyDescent="0.35">
      <c r="A317" s="49">
        <v>261</v>
      </c>
      <c r="B317" s="18"/>
      <c r="C317" s="31"/>
      <c r="D317" s="31"/>
      <c r="E317" s="33"/>
      <c r="F317" s="22"/>
      <c r="G317" s="85"/>
      <c r="H317" s="126">
        <f t="shared" si="36"/>
        <v>0</v>
      </c>
      <c r="I317" s="160">
        <v>0</v>
      </c>
      <c r="J317" s="104"/>
      <c r="K317" s="104">
        <v>0</v>
      </c>
      <c r="L317" s="104">
        <v>0</v>
      </c>
      <c r="M317" s="139"/>
      <c r="N317" s="133"/>
      <c r="O317" s="86"/>
    </row>
    <row r="318" spans="1:15" s="106" customFormat="1" ht="15.5" x14ac:dyDescent="0.35">
      <c r="A318" s="194">
        <v>262</v>
      </c>
      <c r="B318" s="213"/>
      <c r="C318" s="98">
        <v>45693</v>
      </c>
      <c r="D318" s="196">
        <v>20019</v>
      </c>
      <c r="E318" s="100">
        <v>20019</v>
      </c>
      <c r="F318" s="158"/>
      <c r="G318" s="103">
        <v>18726</v>
      </c>
      <c r="H318" s="159">
        <f t="shared" si="36"/>
        <v>1293</v>
      </c>
      <c r="I318" s="160">
        <v>0</v>
      </c>
      <c r="J318" s="104"/>
      <c r="K318" s="104">
        <v>300</v>
      </c>
      <c r="L318" s="104">
        <v>0</v>
      </c>
      <c r="M318" s="161"/>
      <c r="N318" s="162"/>
      <c r="O318" s="105"/>
    </row>
    <row r="319" spans="1:15" s="106" customFormat="1" ht="15.5" x14ac:dyDescent="0.35">
      <c r="A319" s="194">
        <v>263</v>
      </c>
      <c r="B319" s="97"/>
      <c r="C319" s="98">
        <v>45516</v>
      </c>
      <c r="D319" s="167">
        <v>2103</v>
      </c>
      <c r="E319" s="100">
        <v>2103</v>
      </c>
      <c r="F319" s="158">
        <f t="shared" ref="F319:F326" si="37">E319-D319</f>
        <v>0</v>
      </c>
      <c r="G319" s="103">
        <v>2048</v>
      </c>
      <c r="H319" s="159">
        <f t="shared" si="36"/>
        <v>55</v>
      </c>
      <c r="I319" s="160">
        <v>0</v>
      </c>
      <c r="J319" s="104"/>
      <c r="K319" s="104">
        <v>0</v>
      </c>
      <c r="L319" s="104">
        <v>0</v>
      </c>
      <c r="M319" s="161"/>
      <c r="N319" s="162"/>
      <c r="O319" s="105"/>
    </row>
    <row r="320" spans="1:15" s="106" customFormat="1" ht="15.5" x14ac:dyDescent="0.35">
      <c r="A320" s="194">
        <v>264</v>
      </c>
      <c r="B320" s="97"/>
      <c r="C320" s="98">
        <v>44145</v>
      </c>
      <c r="D320" s="167">
        <v>3400</v>
      </c>
      <c r="E320" s="100">
        <v>3400</v>
      </c>
      <c r="F320" s="158">
        <f t="shared" si="37"/>
        <v>0</v>
      </c>
      <c r="G320" s="103">
        <v>3400</v>
      </c>
      <c r="H320" s="159">
        <f t="shared" si="36"/>
        <v>0</v>
      </c>
      <c r="I320" s="160">
        <v>0</v>
      </c>
      <c r="J320" s="104"/>
      <c r="K320" s="104">
        <v>0</v>
      </c>
      <c r="L320" s="104">
        <v>0</v>
      </c>
      <c r="M320" s="161"/>
      <c r="N320" s="162"/>
      <c r="O320" s="105"/>
    </row>
    <row r="321" spans="1:15" s="116" customFormat="1" ht="15.5" x14ac:dyDescent="0.35">
      <c r="A321" s="117">
        <v>265</v>
      </c>
      <c r="B321" s="108" t="s">
        <v>94</v>
      </c>
      <c r="C321" s="123">
        <v>45622</v>
      </c>
      <c r="D321" s="118">
        <v>21285</v>
      </c>
      <c r="E321" s="111">
        <v>21285</v>
      </c>
      <c r="F321" s="119">
        <f t="shared" si="37"/>
        <v>0</v>
      </c>
      <c r="G321" s="113">
        <v>22544</v>
      </c>
      <c r="H321" s="125">
        <f t="shared" si="36"/>
        <v>-1259</v>
      </c>
      <c r="I321" s="141">
        <f>(1259*5.85)-344.35</f>
        <v>7020.7999999999993</v>
      </c>
      <c r="J321" s="114"/>
      <c r="K321" s="114">
        <v>0</v>
      </c>
      <c r="L321" s="114">
        <v>0</v>
      </c>
      <c r="M321" s="142"/>
      <c r="N321" s="131"/>
      <c r="O321" s="115"/>
    </row>
    <row r="322" spans="1:15" ht="15.5" x14ac:dyDescent="0.35">
      <c r="A322" s="77">
        <v>265</v>
      </c>
      <c r="B322" s="9" t="s">
        <v>8</v>
      </c>
      <c r="C322" s="72">
        <v>45622</v>
      </c>
      <c r="D322" s="62">
        <v>8729</v>
      </c>
      <c r="E322" s="78">
        <v>8729</v>
      </c>
      <c r="F322" s="6">
        <f t="shared" si="37"/>
        <v>0</v>
      </c>
      <c r="G322" s="88"/>
      <c r="H322" s="83"/>
      <c r="I322" s="138"/>
      <c r="J322" s="93"/>
      <c r="K322" s="93"/>
      <c r="L322" s="93"/>
      <c r="M322" s="139"/>
      <c r="N322" s="90">
        <v>5.68</v>
      </c>
      <c r="O322" s="4">
        <f>N322*F322</f>
        <v>0</v>
      </c>
    </row>
    <row r="323" spans="1:15" ht="15.5" x14ac:dyDescent="0.35">
      <c r="A323" s="77">
        <v>265</v>
      </c>
      <c r="B323" s="9" t="s">
        <v>9</v>
      </c>
      <c r="C323" s="72">
        <v>45622</v>
      </c>
      <c r="D323" s="62">
        <v>5072</v>
      </c>
      <c r="E323" s="78">
        <v>5072</v>
      </c>
      <c r="F323" s="6">
        <f t="shared" si="37"/>
        <v>0</v>
      </c>
      <c r="G323" s="88"/>
      <c r="H323" s="83"/>
      <c r="I323" s="138"/>
      <c r="J323" s="93"/>
      <c r="K323" s="93"/>
      <c r="L323" s="93"/>
      <c r="M323" s="139"/>
      <c r="N323" s="90">
        <v>3.09</v>
      </c>
      <c r="O323" s="4">
        <f>N323*F323</f>
        <v>0</v>
      </c>
    </row>
    <row r="324" spans="1:15" s="106" customFormat="1" ht="15.5" x14ac:dyDescent="0.35">
      <c r="A324" s="194">
        <v>266</v>
      </c>
      <c r="B324" s="97"/>
      <c r="C324" s="98">
        <v>45488</v>
      </c>
      <c r="D324" s="167">
        <v>572</v>
      </c>
      <c r="E324" s="100">
        <v>572</v>
      </c>
      <c r="F324" s="158">
        <f t="shared" si="37"/>
        <v>0</v>
      </c>
      <c r="G324" s="103">
        <v>572</v>
      </c>
      <c r="H324" s="159">
        <f>D324-G324</f>
        <v>0</v>
      </c>
      <c r="I324" s="160">
        <v>0</v>
      </c>
      <c r="J324" s="104"/>
      <c r="K324" s="104">
        <v>0</v>
      </c>
      <c r="L324" s="104">
        <v>0</v>
      </c>
      <c r="M324" s="161"/>
      <c r="N324" s="162"/>
      <c r="O324" s="105">
        <f>O323+O322</f>
        <v>0</v>
      </c>
    </row>
    <row r="325" spans="1:15" s="106" customFormat="1" ht="15.5" x14ac:dyDescent="0.35">
      <c r="A325" s="194">
        <v>267</v>
      </c>
      <c r="B325" s="97" t="s">
        <v>95</v>
      </c>
      <c r="C325" s="98">
        <v>45544</v>
      </c>
      <c r="D325" s="196">
        <v>25410</v>
      </c>
      <c r="E325" s="100">
        <v>25410</v>
      </c>
      <c r="F325" s="158">
        <f t="shared" si="37"/>
        <v>0</v>
      </c>
      <c r="G325" s="103">
        <v>25410</v>
      </c>
      <c r="H325" s="159">
        <v>0</v>
      </c>
      <c r="I325" s="160">
        <v>0</v>
      </c>
      <c r="J325" s="104"/>
      <c r="K325" s="104">
        <v>0</v>
      </c>
      <c r="L325" s="104">
        <v>0</v>
      </c>
      <c r="M325" s="161"/>
      <c r="N325" s="162">
        <f>F325*M325</f>
        <v>0</v>
      </c>
      <c r="O325" s="105"/>
    </row>
    <row r="326" spans="1:15" ht="15.5" x14ac:dyDescent="0.35">
      <c r="A326" s="77">
        <v>267</v>
      </c>
      <c r="B326" s="9" t="s">
        <v>96</v>
      </c>
      <c r="C326" s="10">
        <v>45544</v>
      </c>
      <c r="D326" s="62">
        <v>14040</v>
      </c>
      <c r="E326" s="24">
        <v>14040</v>
      </c>
      <c r="F326" s="6">
        <f t="shared" si="37"/>
        <v>0</v>
      </c>
      <c r="G326" s="89">
        <v>14040</v>
      </c>
      <c r="H326" s="127">
        <v>0</v>
      </c>
      <c r="I326" s="144"/>
      <c r="J326" s="95"/>
      <c r="K326" s="95"/>
      <c r="L326" s="95"/>
      <c r="M326" s="139"/>
      <c r="N326" s="90">
        <f>F326*M326</f>
        <v>0</v>
      </c>
      <c r="O326" s="4">
        <f>N325+N326</f>
        <v>0</v>
      </c>
    </row>
    <row r="327" spans="1:15" s="106" customFormat="1" ht="15.5" x14ac:dyDescent="0.35">
      <c r="A327" s="194">
        <v>268</v>
      </c>
      <c r="B327" s="97" t="s">
        <v>97</v>
      </c>
      <c r="C327" s="166">
        <v>45590</v>
      </c>
      <c r="D327" s="167">
        <v>1015</v>
      </c>
      <c r="E327" s="100">
        <v>1015</v>
      </c>
      <c r="F327" s="158">
        <f>E327-D327</f>
        <v>0</v>
      </c>
      <c r="G327" s="103">
        <v>1003</v>
      </c>
      <c r="H327" s="159">
        <f>D327-G327</f>
        <v>12</v>
      </c>
      <c r="I327" s="160">
        <v>0</v>
      </c>
      <c r="J327" s="104"/>
      <c r="K327" s="104">
        <v>0</v>
      </c>
      <c r="L327" s="104">
        <v>0</v>
      </c>
      <c r="M327" s="161"/>
      <c r="N327" s="162"/>
      <c r="O327" s="105"/>
    </row>
    <row r="328" spans="1:15" s="106" customFormat="1" ht="15.5" x14ac:dyDescent="0.35">
      <c r="A328" s="194">
        <v>269</v>
      </c>
      <c r="B328" s="97" t="s">
        <v>98</v>
      </c>
      <c r="C328" s="98">
        <v>44734</v>
      </c>
      <c r="D328" s="167">
        <f>6047+21</f>
        <v>6068</v>
      </c>
      <c r="E328" s="100">
        <v>6068</v>
      </c>
      <c r="F328" s="158">
        <f>E328-D328</f>
        <v>0</v>
      </c>
      <c r="G328" s="103">
        <v>6279</v>
      </c>
      <c r="H328" s="159">
        <f>D328-G328</f>
        <v>-211</v>
      </c>
      <c r="I328" s="160">
        <f>5.85*211</f>
        <v>1234.3499999999999</v>
      </c>
      <c r="J328" s="104"/>
      <c r="K328" s="104">
        <v>300</v>
      </c>
      <c r="L328" s="104">
        <v>9300</v>
      </c>
      <c r="M328" s="161"/>
      <c r="N328" s="162"/>
      <c r="O328" s="105"/>
    </row>
    <row r="329" spans="1:15" ht="15.5" x14ac:dyDescent="0.35">
      <c r="A329" s="77">
        <v>269</v>
      </c>
      <c r="B329" s="9" t="s">
        <v>16</v>
      </c>
      <c r="C329" s="10">
        <v>44734</v>
      </c>
      <c r="D329" s="63">
        <v>3262</v>
      </c>
      <c r="E329" s="24">
        <v>3262</v>
      </c>
      <c r="F329" s="6">
        <f>E329-D329</f>
        <v>0</v>
      </c>
      <c r="G329" s="88"/>
      <c r="H329" s="83"/>
      <c r="I329" s="138"/>
      <c r="J329" s="93"/>
      <c r="K329" s="93"/>
      <c r="L329" s="93"/>
      <c r="M329" s="139"/>
      <c r="N329" s="90">
        <f>M329*F329</f>
        <v>0</v>
      </c>
      <c r="O329" s="4"/>
    </row>
    <row r="330" spans="1:15" ht="15.5" x14ac:dyDescent="0.35">
      <c r="A330" s="77">
        <v>269</v>
      </c>
      <c r="B330" s="72" t="s">
        <v>29</v>
      </c>
      <c r="C330" s="10">
        <v>44734</v>
      </c>
      <c r="D330" s="63">
        <v>2207</v>
      </c>
      <c r="E330" s="24">
        <v>2207</v>
      </c>
      <c r="F330" s="6">
        <f>E330-D330</f>
        <v>0</v>
      </c>
      <c r="G330" s="88"/>
      <c r="H330" s="83"/>
      <c r="I330" s="138"/>
      <c r="J330" s="93"/>
      <c r="K330" s="93"/>
      <c r="L330" s="93"/>
      <c r="M330" s="139"/>
      <c r="N330" s="90">
        <f>M330*F330</f>
        <v>0</v>
      </c>
      <c r="O330" s="4">
        <f>N330+N329</f>
        <v>0</v>
      </c>
    </row>
    <row r="331" spans="1:15" s="106" customFormat="1" ht="15.5" x14ac:dyDescent="0.35">
      <c r="A331" s="194">
        <v>270</v>
      </c>
      <c r="B331" s="97"/>
      <c r="C331" s="98">
        <v>45747</v>
      </c>
      <c r="D331" s="167">
        <f>50+2475</f>
        <v>2525</v>
      </c>
      <c r="E331" s="170">
        <f>D331</f>
        <v>2525</v>
      </c>
      <c r="F331" s="158">
        <f>E331-D331</f>
        <v>0</v>
      </c>
      <c r="G331" s="103">
        <v>2549</v>
      </c>
      <c r="H331" s="159">
        <f>D331-G331</f>
        <v>-24</v>
      </c>
      <c r="I331" s="160">
        <f>24*5.86</f>
        <v>140.64000000000001</v>
      </c>
      <c r="J331" s="104"/>
      <c r="K331" s="104">
        <v>0</v>
      </c>
      <c r="L331" s="104">
        <v>0</v>
      </c>
      <c r="M331" s="161"/>
      <c r="N331" s="162">
        <f>F331*M331</f>
        <v>0</v>
      </c>
      <c r="O331" s="105"/>
    </row>
    <row r="332" spans="1:15" s="106" customFormat="1" ht="15.5" x14ac:dyDescent="0.35">
      <c r="A332" s="194">
        <v>271</v>
      </c>
      <c r="B332" s="97"/>
      <c r="C332" s="98">
        <v>45138</v>
      </c>
      <c r="D332" s="167">
        <f>2110+250</f>
        <v>2360</v>
      </c>
      <c r="E332" s="100">
        <v>2360</v>
      </c>
      <c r="F332" s="158"/>
      <c r="G332" s="103">
        <v>2549</v>
      </c>
      <c r="H332" s="159">
        <f>D332-G332</f>
        <v>-189</v>
      </c>
      <c r="I332" s="160">
        <f>189*5.85</f>
        <v>1105.6499999999999</v>
      </c>
      <c r="J332" s="104"/>
      <c r="K332" s="104">
        <v>0</v>
      </c>
      <c r="L332" s="104">
        <v>0</v>
      </c>
      <c r="M332" s="161"/>
      <c r="N332" s="162"/>
      <c r="O332" s="105"/>
    </row>
    <row r="333" spans="1:15" s="106" customFormat="1" ht="15.5" x14ac:dyDescent="0.35">
      <c r="A333" s="194" t="s">
        <v>99</v>
      </c>
      <c r="B333" s="97"/>
      <c r="C333" s="98">
        <v>45629</v>
      </c>
      <c r="D333" s="167">
        <f>9915+963</f>
        <v>10878</v>
      </c>
      <c r="E333" s="100">
        <f>D333</f>
        <v>10878</v>
      </c>
      <c r="F333" s="158">
        <f>E333-D333</f>
        <v>0</v>
      </c>
      <c r="G333" s="103">
        <v>10878</v>
      </c>
      <c r="H333" s="159">
        <f>D333-G333</f>
        <v>0</v>
      </c>
      <c r="I333" s="160">
        <v>0</v>
      </c>
      <c r="J333" s="104"/>
      <c r="K333" s="104">
        <v>0</v>
      </c>
      <c r="L333" s="104">
        <v>0</v>
      </c>
      <c r="M333" s="161"/>
      <c r="N333" s="162"/>
      <c r="O333" s="105"/>
    </row>
    <row r="334" spans="1:15" ht="15.5" x14ac:dyDescent="0.35">
      <c r="A334" s="77">
        <v>274</v>
      </c>
      <c r="B334" s="9"/>
      <c r="C334" s="10">
        <v>45548</v>
      </c>
      <c r="D334" s="62">
        <v>101860</v>
      </c>
      <c r="E334" s="24">
        <v>101860</v>
      </c>
      <c r="F334" s="6">
        <f>E334-D334</f>
        <v>0</v>
      </c>
      <c r="G334" s="88"/>
      <c r="H334" s="83"/>
      <c r="I334" s="138"/>
      <c r="J334" s="93"/>
      <c r="K334" s="93"/>
      <c r="L334" s="93"/>
      <c r="M334" s="139"/>
      <c r="N334" s="90">
        <f>F334*M334</f>
        <v>0</v>
      </c>
      <c r="O334" s="4"/>
    </row>
    <row r="335" spans="1:15" s="106" customFormat="1" ht="15.5" x14ac:dyDescent="0.35">
      <c r="A335" s="194">
        <v>274</v>
      </c>
      <c r="B335" s="97"/>
      <c r="C335" s="98">
        <v>45548</v>
      </c>
      <c r="D335" s="196">
        <f>10895+560</f>
        <v>11455</v>
      </c>
      <c r="E335" s="100">
        <v>11455</v>
      </c>
      <c r="F335" s="158">
        <f>E335-D335</f>
        <v>0</v>
      </c>
      <c r="G335" s="103">
        <v>11208</v>
      </c>
      <c r="H335" s="159">
        <f>D335-G335</f>
        <v>247</v>
      </c>
      <c r="I335" s="160">
        <v>0</v>
      </c>
      <c r="J335" s="104"/>
      <c r="K335" s="104">
        <v>0</v>
      </c>
      <c r="L335" s="104">
        <v>0</v>
      </c>
      <c r="M335" s="161"/>
      <c r="N335" s="162"/>
      <c r="O335" s="105"/>
    </row>
    <row r="336" spans="1:15" s="106" customFormat="1" ht="15.5" x14ac:dyDescent="0.35">
      <c r="A336" s="194">
        <v>275</v>
      </c>
      <c r="B336" s="97" t="s">
        <v>16</v>
      </c>
      <c r="C336" s="98">
        <v>45805</v>
      </c>
      <c r="D336" s="196">
        <v>10243</v>
      </c>
      <c r="E336" s="231">
        <v>10243</v>
      </c>
      <c r="F336" s="158">
        <f t="shared" ref="F336:F341" si="38">E336-D336</f>
        <v>0</v>
      </c>
      <c r="G336" s="103">
        <v>9910</v>
      </c>
      <c r="H336" s="159">
        <f t="shared" ref="H336:H338" si="39">D336-G336</f>
        <v>333</v>
      </c>
      <c r="I336" s="160">
        <v>0</v>
      </c>
      <c r="J336" s="104"/>
      <c r="K336" s="104">
        <v>0</v>
      </c>
      <c r="L336" s="104">
        <v>0</v>
      </c>
      <c r="M336" s="161">
        <v>6.28</v>
      </c>
      <c r="N336" s="162">
        <f>F336*M336</f>
        <v>0</v>
      </c>
      <c r="O336" s="105"/>
    </row>
    <row r="337" spans="1:15" ht="15.5" x14ac:dyDescent="0.35">
      <c r="A337" s="77">
        <v>275</v>
      </c>
      <c r="B337" s="9" t="s">
        <v>29</v>
      </c>
      <c r="C337" s="10">
        <v>45805</v>
      </c>
      <c r="D337" s="62">
        <v>8550</v>
      </c>
      <c r="E337" s="76">
        <v>8550</v>
      </c>
      <c r="F337" s="6">
        <f t="shared" si="38"/>
        <v>0</v>
      </c>
      <c r="G337" s="103">
        <v>8306</v>
      </c>
      <c r="H337" s="159">
        <f t="shared" si="39"/>
        <v>244</v>
      </c>
      <c r="I337" s="144"/>
      <c r="J337" s="95"/>
      <c r="K337" s="95"/>
      <c r="L337" s="95"/>
      <c r="M337" s="139">
        <v>3.4</v>
      </c>
      <c r="N337" s="90">
        <f>F337*M337</f>
        <v>0</v>
      </c>
      <c r="O337" s="4">
        <f>N336+N337</f>
        <v>0</v>
      </c>
    </row>
    <row r="338" spans="1:15" s="106" customFormat="1" ht="15.5" x14ac:dyDescent="0.35">
      <c r="A338" s="194">
        <v>276</v>
      </c>
      <c r="B338" s="97" t="s">
        <v>100</v>
      </c>
      <c r="C338" s="98">
        <v>45817</v>
      </c>
      <c r="D338" s="167">
        <f>27236+353+197</f>
        <v>27786</v>
      </c>
      <c r="E338" s="100">
        <v>27786</v>
      </c>
      <c r="F338" s="158"/>
      <c r="G338" s="103">
        <v>27067</v>
      </c>
      <c r="H338" s="159">
        <f t="shared" si="39"/>
        <v>719</v>
      </c>
      <c r="I338" s="160">
        <v>0</v>
      </c>
      <c r="J338" s="104"/>
      <c r="K338" s="104">
        <v>0</v>
      </c>
      <c r="L338" s="104">
        <v>0</v>
      </c>
      <c r="M338" s="161"/>
      <c r="N338" s="162"/>
      <c r="O338" s="105"/>
    </row>
    <row r="339" spans="1:15" ht="15.5" x14ac:dyDescent="0.35">
      <c r="A339" s="77">
        <v>276</v>
      </c>
      <c r="B339" s="9" t="s">
        <v>101</v>
      </c>
      <c r="C339" s="10">
        <v>45817</v>
      </c>
      <c r="D339" s="63">
        <f>556+353</f>
        <v>909</v>
      </c>
      <c r="E339" s="24">
        <v>909</v>
      </c>
      <c r="F339" s="6">
        <f t="shared" si="38"/>
        <v>0</v>
      </c>
      <c r="G339" s="88"/>
      <c r="H339" s="159"/>
      <c r="I339" s="138"/>
      <c r="J339" s="93"/>
      <c r="K339" s="93"/>
      <c r="L339" s="93"/>
      <c r="M339" s="139">
        <v>6.28</v>
      </c>
      <c r="N339" s="90">
        <f>F339*M339</f>
        <v>0</v>
      </c>
      <c r="O339" s="4"/>
    </row>
    <row r="340" spans="1:15" s="106" customFormat="1" ht="15.5" x14ac:dyDescent="0.35">
      <c r="A340" s="194">
        <v>276</v>
      </c>
      <c r="B340" s="97" t="s">
        <v>102</v>
      </c>
      <c r="C340" s="98">
        <v>45817</v>
      </c>
      <c r="D340" s="167">
        <f>254+197</f>
        <v>451</v>
      </c>
      <c r="E340" s="100">
        <v>451</v>
      </c>
      <c r="F340" s="158">
        <f t="shared" si="38"/>
        <v>0</v>
      </c>
      <c r="G340" s="103"/>
      <c r="H340" s="159"/>
      <c r="I340" s="160">
        <v>0</v>
      </c>
      <c r="J340" s="104"/>
      <c r="K340" s="104">
        <v>0</v>
      </c>
      <c r="L340" s="104">
        <v>0</v>
      </c>
      <c r="M340" s="161">
        <v>3.4</v>
      </c>
      <c r="N340" s="162">
        <f>F340*M340</f>
        <v>0</v>
      </c>
      <c r="O340" s="105">
        <f>N339+N340</f>
        <v>0</v>
      </c>
    </row>
    <row r="341" spans="1:15" s="106" customFormat="1" ht="14.5" customHeight="1" x14ac:dyDescent="0.35">
      <c r="A341" s="194">
        <v>277</v>
      </c>
      <c r="B341" s="97" t="s">
        <v>115</v>
      </c>
      <c r="C341" s="98">
        <v>45616</v>
      </c>
      <c r="D341" s="196">
        <v>5172</v>
      </c>
      <c r="E341" s="100">
        <v>5172</v>
      </c>
      <c r="F341" s="158">
        <f t="shared" si="38"/>
        <v>0</v>
      </c>
      <c r="G341" s="103">
        <v>4567</v>
      </c>
      <c r="H341" s="159">
        <f>D341-G341</f>
        <v>605</v>
      </c>
      <c r="I341" s="160">
        <v>0</v>
      </c>
      <c r="J341" s="104"/>
      <c r="K341" s="104">
        <v>300</v>
      </c>
      <c r="L341" s="104">
        <f>9300-8000</f>
        <v>1300</v>
      </c>
      <c r="M341" s="161"/>
      <c r="N341" s="162">
        <f>F341*M341</f>
        <v>0</v>
      </c>
      <c r="O341" s="105"/>
    </row>
    <row r="342" spans="1:15" s="106" customFormat="1" ht="15.5" x14ac:dyDescent="0.35">
      <c r="A342" s="194">
        <v>278</v>
      </c>
      <c r="B342" s="219" t="s">
        <v>16</v>
      </c>
      <c r="C342" s="98">
        <v>45817</v>
      </c>
      <c r="D342" s="157">
        <v>42600</v>
      </c>
      <c r="E342" s="100">
        <v>42600</v>
      </c>
      <c r="F342" s="221">
        <f t="shared" ref="F342:F347" si="40">E342-D342</f>
        <v>0</v>
      </c>
      <c r="G342" s="103">
        <v>42525</v>
      </c>
      <c r="H342" s="159">
        <f>D342-G342</f>
        <v>75</v>
      </c>
      <c r="I342" s="160">
        <v>0</v>
      </c>
      <c r="J342" s="104"/>
      <c r="K342" s="104">
        <v>0</v>
      </c>
      <c r="L342" s="104">
        <v>0</v>
      </c>
      <c r="M342" s="161">
        <v>6.28</v>
      </c>
      <c r="N342" s="162">
        <f>M342*F342</f>
        <v>0</v>
      </c>
      <c r="O342" s="105"/>
    </row>
    <row r="343" spans="1:15" ht="15.5" x14ac:dyDescent="0.35">
      <c r="A343" s="77"/>
      <c r="B343" s="79" t="s">
        <v>29</v>
      </c>
      <c r="C343" s="98">
        <v>45817</v>
      </c>
      <c r="D343" s="13">
        <v>13850</v>
      </c>
      <c r="E343" s="24">
        <v>13850</v>
      </c>
      <c r="F343" s="78">
        <f t="shared" si="40"/>
        <v>0</v>
      </c>
      <c r="G343" s="89">
        <v>13840</v>
      </c>
      <c r="H343" s="83">
        <f>D343-G343</f>
        <v>10</v>
      </c>
      <c r="I343" s="138"/>
      <c r="J343" s="93"/>
      <c r="K343" s="93"/>
      <c r="L343" s="93"/>
      <c r="M343" s="139">
        <v>3.4</v>
      </c>
      <c r="N343" s="90">
        <f>M343*F343</f>
        <v>0</v>
      </c>
      <c r="O343" s="4">
        <f>N342+N343</f>
        <v>0</v>
      </c>
    </row>
    <row r="344" spans="1:15" ht="15.5" x14ac:dyDescent="0.35">
      <c r="A344" s="77">
        <v>279</v>
      </c>
      <c r="B344" s="79" t="s">
        <v>16</v>
      </c>
      <c r="C344" s="98">
        <v>45817</v>
      </c>
      <c r="D344" s="80">
        <v>13600</v>
      </c>
      <c r="E344" s="24">
        <v>13600</v>
      </c>
      <c r="F344" s="78">
        <f t="shared" si="40"/>
        <v>0</v>
      </c>
      <c r="G344" s="89"/>
      <c r="H344" s="83"/>
      <c r="I344" s="138"/>
      <c r="J344" s="93"/>
      <c r="K344" s="93"/>
      <c r="L344" s="93"/>
      <c r="M344" s="161">
        <v>6.28</v>
      </c>
      <c r="N344" s="90">
        <f>M344*F344</f>
        <v>0</v>
      </c>
      <c r="O344" s="4"/>
    </row>
    <row r="345" spans="1:15" ht="15.5" x14ac:dyDescent="0.35">
      <c r="A345" s="77"/>
      <c r="B345" s="79" t="s">
        <v>29</v>
      </c>
      <c r="C345" s="98">
        <v>45817</v>
      </c>
      <c r="D345" s="62">
        <v>6200</v>
      </c>
      <c r="E345" s="24">
        <v>6200</v>
      </c>
      <c r="F345" s="78">
        <f t="shared" si="40"/>
        <v>0</v>
      </c>
      <c r="G345" s="89"/>
      <c r="H345" s="83"/>
      <c r="I345" s="138"/>
      <c r="J345" s="93"/>
      <c r="K345" s="93"/>
      <c r="L345" s="93"/>
      <c r="M345" s="139">
        <v>3.4</v>
      </c>
      <c r="N345" s="90">
        <f>M345*F345</f>
        <v>0</v>
      </c>
      <c r="O345" s="4">
        <f>N344+N345</f>
        <v>0</v>
      </c>
    </row>
    <row r="346" spans="1:15" s="106" customFormat="1" ht="15.5" x14ac:dyDescent="0.35">
      <c r="A346" s="194">
        <v>279</v>
      </c>
      <c r="B346" s="219" t="s">
        <v>73</v>
      </c>
      <c r="C346" s="98">
        <v>45817</v>
      </c>
      <c r="D346" s="220">
        <f>836+22853+800</f>
        <v>24489</v>
      </c>
      <c r="E346" s="100">
        <f>23689+800</f>
        <v>24489</v>
      </c>
      <c r="F346" s="158">
        <f t="shared" si="40"/>
        <v>0</v>
      </c>
      <c r="G346" s="103">
        <f>22853+800</f>
        <v>23653</v>
      </c>
      <c r="H346" s="159">
        <f>D346-G346</f>
        <v>836</v>
      </c>
      <c r="I346" s="160">
        <v>0</v>
      </c>
      <c r="J346" s="104"/>
      <c r="K346" s="104">
        <v>0</v>
      </c>
      <c r="L346" s="104">
        <v>0</v>
      </c>
      <c r="M346" s="161"/>
      <c r="N346" s="162"/>
      <c r="O346" s="105"/>
    </row>
    <row r="347" spans="1:15" s="106" customFormat="1" ht="15.5" x14ac:dyDescent="0.35">
      <c r="A347" s="194">
        <v>280</v>
      </c>
      <c r="B347" s="97"/>
      <c r="C347" s="98">
        <v>45744</v>
      </c>
      <c r="D347" s="196">
        <v>74500</v>
      </c>
      <c r="E347" s="192">
        <v>74500</v>
      </c>
      <c r="F347" s="101">
        <f t="shared" si="40"/>
        <v>0</v>
      </c>
      <c r="G347" s="103">
        <v>72127</v>
      </c>
      <c r="H347" s="159">
        <f>D347-G347</f>
        <v>2373</v>
      </c>
      <c r="I347" s="160">
        <v>0</v>
      </c>
      <c r="J347" s="104"/>
      <c r="K347" s="104">
        <v>0</v>
      </c>
      <c r="L347" s="104">
        <v>0</v>
      </c>
      <c r="M347" s="161"/>
      <c r="N347" s="162">
        <f>M347*F347</f>
        <v>0</v>
      </c>
      <c r="O347" s="105"/>
    </row>
    <row r="348" spans="1:15" x14ac:dyDescent="0.35">
      <c r="A348" s="194">
        <v>281</v>
      </c>
      <c r="B348" s="105" t="s">
        <v>119</v>
      </c>
      <c r="C348" s="105"/>
      <c r="D348" s="105"/>
      <c r="E348" s="105"/>
      <c r="F348" s="105"/>
      <c r="G348" s="105"/>
      <c r="H348" s="105"/>
      <c r="I348" s="249"/>
      <c r="J348" s="250"/>
      <c r="K348" s="104">
        <v>800</v>
      </c>
      <c r="L348" s="104">
        <f>8000+9300</f>
        <v>17300</v>
      </c>
      <c r="M348" s="147"/>
    </row>
    <row r="349" spans="1:15" x14ac:dyDescent="0.35">
      <c r="I349" s="146">
        <f t="shared" ref="I349:K349" si="41">SUM(I7:I348)</f>
        <v>540308.33000000019</v>
      </c>
      <c r="J349" s="146"/>
      <c r="K349" s="146">
        <f t="shared" si="41"/>
        <v>20100</v>
      </c>
      <c r="L349" s="146">
        <f>SUM(L7:L348)</f>
        <v>220600</v>
      </c>
      <c r="M349" s="147"/>
    </row>
  </sheetData>
  <autoFilter ref="L1:L349"/>
  <mergeCells count="12">
    <mergeCell ref="A38:C38"/>
    <mergeCell ref="A1:F1"/>
    <mergeCell ref="A2:F2"/>
    <mergeCell ref="M2:O2"/>
    <mergeCell ref="A4:D4"/>
    <mergeCell ref="A316:D316"/>
    <mergeCell ref="A71:C71"/>
    <mergeCell ref="A111:C111"/>
    <mergeCell ref="A159:C159"/>
    <mergeCell ref="A203:C203"/>
    <mergeCell ref="A234:C234"/>
    <mergeCell ref="A268:D26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Рахья</dc:creator>
  <cp:lastModifiedBy>Main_User</cp:lastModifiedBy>
  <cp:lastPrinted>2025-06-21T06:10:29Z</cp:lastPrinted>
  <dcterms:created xsi:type="dcterms:W3CDTF">2015-06-05T18:19:34Z</dcterms:created>
  <dcterms:modified xsi:type="dcterms:W3CDTF">2025-06-28T10:12:45Z</dcterms:modified>
</cp:coreProperties>
</file>